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uide" sheetId="2" state="visible" r:id="rId4"/>
    <sheet name="Checks" sheetId="3" state="visible" r:id="rId5"/>
    <sheet name="CFO_Report" sheetId="4" state="visible" r:id="rId6"/>
    <sheet name="KPIs" sheetId="5" state="visible" r:id="rId7"/>
    <sheet name="PL" sheetId="6" state="visible" r:id="rId8"/>
    <sheet name="BS" sheetId="7" state="visible" r:id="rId9"/>
    <sheet name="CF" sheetId="8" state="visible" r:id="rId10"/>
    <sheet name="BvA" sheetId="9" state="visible" r:id="rId11"/>
    <sheet name="Scenarios" sheetId="10" state="visible" r:id="rId12"/>
    <sheet name="Cash_13W" sheetId="11" state="visible" r:id="rId13"/>
    <sheet name="Client_Profitability" sheetId="12" state="visible" r:id="rId14"/>
    <sheet name="Clients" sheetId="13" state="visible" r:id="rId15"/>
    <sheet name="Retainers" sheetId="14" state="visible" r:id="rId16"/>
    <sheet name="Projects" sheetId="15" state="visible" r:id="rId17"/>
    <sheet name="TM_Media" sheetId="16" state="visible" r:id="rId18"/>
    <sheet name="Utilisation" sheetId="17" state="visible" r:id="rId19"/>
    <sheet name="People" sheetId="18" state="visible" r:id="rId20"/>
    <sheet name="Pipeline" sheetId="19" state="visible" r:id="rId21"/>
    <sheet name="FX" sheetId="20" state="visible" r:id="rId22"/>
    <sheet name="Receivables" sheetId="21" state="visible" r:id="rId23"/>
    <sheet name="AR_Aging" sheetId="22" state="visible" r:id="rId24"/>
    <sheet name="AP_Aging" sheetId="23" state="visible" r:id="rId25"/>
    <sheet name="Payables" sheetId="24" state="visible" r:id="rId26"/>
    <sheet name="VAT" sheetId="25" state="visible" r:id="rId27"/>
    <sheet name="Overheads" sheetId="26" state="visible" r:id="rId28"/>
    <sheet name="Fixed_Assets" sheetId="27" state="visible" r:id="rId29"/>
    <sheet name="Financing" sheetId="28" state="visible" r:id="rId30"/>
    <sheet name="Client_Register" sheetId="29" state="visible" r:id="rId31"/>
    <sheet name="Project_Register" sheetId="30" state="visible" r:id="rId32"/>
    <sheet name="Assumptions" sheetId="31" state="visible" r:id="rId33"/>
    <sheet name="Inputs_Actuals" sheetId="32" state="visible" r:id="rId34"/>
    <sheet name="Budget_FY26" sheetId="33" state="visible" r:id="rId3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<sst xmlns="http://schemas.openxmlformats.org/spreadsheetml/2006/main" count="4869" uniqueCount="1968">
  <si>
    <t xml:space="preserve">FINANCIAL MODEL AND MONTHLY REPORTING PACK</t>
  </si>
  <si>
    <t xml:space="preserve">Agency demonstration: digital and creative agency billing UK, US and EU clients in GBP, USD and EUR</t>
  </si>
  <si>
    <t xml:space="preserve">FICTIONAL DEMONSTRATION. Kaldmere Studio OÜ does not exist. Every name, client, supplier, contract, invoice and balance in this workbook was generated for demonstration purposes and does not describe any real company, client or person. Tax rates and filing rules reflect published Estonian rules as at September 2026; exchange rates are ECB reference rates where stated. Prepared by BriQs Group to show the structure, depth and controls of a monthly finance pack.</t>
  </si>
  <si>
    <t xml:space="preserve">Reporting month (last actual)</t>
  </si>
  <si>
    <t xml:space="preserve">Forecast horizon</t>
  </si>
  <si>
    <t xml:space="preserve">Currency</t>
  </si>
  <si>
    <t xml:space="preserve">EUR (clients billed in EUR, GBP and USD)</t>
  </si>
  <si>
    <t xml:space="preserve">Model status (all integrity checks)</t>
  </si>
  <si>
    <t xml:space="preserve">FY2026 net revenue, outlook</t>
  </si>
  <si>
    <t xml:space="preserve">FY2026 EBITDA, outlook</t>
  </si>
  <si>
    <t xml:space="preserve">Utilisation, FY2026 outlook</t>
  </si>
  <si>
    <t xml:space="preserve">Cash at the last actual month</t>
  </si>
  <si>
    <t xml:space="preserve">13-week cash low point</t>
  </si>
  <si>
    <t xml:space="preserve">Prepared by</t>
  </si>
  <si>
    <t xml:space="preserve">BriQs Group, outsourced finance department and fractional CFO (ACCA-qualified accountant, ex Big Four accounting firms, Xero and QuickBooks Partner)</t>
  </si>
  <si>
    <t xml:space="preserve">CONTENTS</t>
  </si>
  <si>
    <t xml:space="preserve">What the sheet holds</t>
  </si>
  <si>
    <t xml:space="preserve">Type</t>
  </si>
  <si>
    <t xml:space="preserve">Cover</t>
  </si>
  <si>
    <t xml:space="preserve">This page</t>
  </si>
  <si>
    <t xml:space="preserve">Report</t>
  </si>
  <si>
    <t xml:space="preserve">Guide</t>
  </si>
  <si>
    <t xml:space="preserve">Model map, revenue and FX methods, Estonian tax mechanics, conventions, month-end procedure, information still needed</t>
  </si>
  <si>
    <t xml:space="preserve">Checks</t>
  </si>
  <si>
    <t xml:space="preserve">Every integrity check with live status; overall status and business warnings</t>
  </si>
  <si>
    <t xml:space="preserve">Control</t>
  </si>
  <si>
    <t xml:space="preserve">CFO_Report</t>
  </si>
  <si>
    <t xml:space="preserve">Quantified findings, scored risks, actions with owners and dates</t>
  </si>
  <si>
    <t xml:space="preserve">KPIs</t>
  </si>
  <si>
    <t xml:space="preserve">Net revenue, margins, utilisation, realisation, concentration, working capital, FX and cash by month</t>
  </si>
  <si>
    <t xml:space="preserve">PL</t>
  </si>
  <si>
    <t xml:space="preserve">Monthly P&amp;L: revenue, net revenue, delivery contribution, EBITDA</t>
  </si>
  <si>
    <t xml:space="preserve">Statement</t>
  </si>
  <si>
    <t xml:space="preserve">BS</t>
  </si>
  <si>
    <t xml:space="preserve">Monthly balance sheet with zero check</t>
  </si>
  <si>
    <t xml:space="preserve">CF</t>
  </si>
  <si>
    <t xml:space="preserve">Cash flow, indirect and direct, reconciled monthly</t>
  </si>
  <si>
    <t xml:space="preserve">BvA</t>
  </si>
  <si>
    <t xml:space="preserve">Budget vs actual YTD and full-year outlook; net revenue bridge (hours and rate); EBITDA walk</t>
  </si>
  <si>
    <t xml:space="preserve">Analysis</t>
  </si>
  <si>
    <t xml:space="preserve">Scenarios</t>
  </si>
  <si>
    <t xml:space="preserve">Base, downside and upside with live selected column</t>
  </si>
  <si>
    <t xml:space="preserve">Cash_13W</t>
  </si>
  <si>
    <t xml:space="preserve">13-week direct cash forecast: payroll and tax days, media payments, buffer control, reconciliation</t>
  </si>
  <si>
    <t xml:space="preserve">Client_Profitability</t>
  </si>
  <si>
    <t xml:space="preserve">Net revenue, realisation, contribution and fully allocated net contribution by client; concentration</t>
  </si>
  <si>
    <t xml:space="preserve">Clients</t>
  </si>
  <si>
    <t xml:space="preserve">Per client: revenue by stream, hours, invoicing, cash, receivable and contract position</t>
  </si>
  <si>
    <t xml:space="preserve">Schedule</t>
  </si>
  <si>
    <t xml:space="preserve">Retainers</t>
  </si>
  <si>
    <t xml:space="preserve">Per contract: fee, scoped and worked hours, overservicing, invoicing</t>
  </si>
  <si>
    <t xml:space="preserve">Projects</t>
  </si>
  <si>
    <t xml:space="preserve">Per project: hours, % complete, revenue, milestones, production recharges</t>
  </si>
  <si>
    <t xml:space="preserve">TM_Media</t>
  </si>
  <si>
    <t xml:space="preserve">Time and materials (hours, rates, write-offs) and media management (spend, fees)</t>
  </si>
  <si>
    <t xml:space="preserve">Utilisation</t>
  </si>
  <si>
    <t xml:space="preserve">Hours by role, capacity, utilisation, freelancers, standard value, realisation, hiring plan</t>
  </si>
  <si>
    <t xml:space="preserve">People</t>
  </si>
  <si>
    <t xml:space="preserve">Payroll, staff table, bonus provision, TSD payroll taxes, people ratios</t>
  </si>
  <si>
    <t xml:space="preserve">Pipeline</t>
  </si>
  <si>
    <t xml:space="preserve">Revenue by security, pipeline, renewal calendar, new business record</t>
  </si>
  <si>
    <t xml:space="preserve">FX</t>
  </si>
  <si>
    <t xml:space="preserve">ECB rates, EUR translation by currency, revaluation of client balances, exposure</t>
  </si>
  <si>
    <t xml:space="preserve">Receivables</t>
  </si>
  <si>
    <t xml:space="preserve">Receivables by currency, specific provision, debtor days</t>
  </si>
  <si>
    <t xml:space="preserve">AR_Aging</t>
  </si>
  <si>
    <t xml:space="preserve">Aged receivables in invoice currency and EUR, tied to the ledger</t>
  </si>
  <si>
    <t xml:space="preserve">AP_Aging</t>
  </si>
  <si>
    <t xml:space="preserve">Aged payables tied to the Payables schedule</t>
  </si>
  <si>
    <t xml:space="preserve">Payables</t>
  </si>
  <si>
    <t xml:space="preserve">Freelancers, media platforms, production suppliers, overheads</t>
  </si>
  <si>
    <t xml:space="preserve">VAT</t>
  </si>
  <si>
    <t xml:space="preserve">Monthly KMD: domestic output VAT, reverse charge, refunds offset</t>
  </si>
  <si>
    <t xml:space="preserve">Overheads</t>
  </si>
  <si>
    <t xml:space="preserve">Overhead lines with VAT shares</t>
  </si>
  <si>
    <t xml:space="preserve">Fixed_Assets</t>
  </si>
  <si>
    <t xml:space="preserve">IT equipment and office fit-out</t>
  </si>
  <si>
    <t xml:space="preserve">Financing</t>
  </si>
  <si>
    <t xml:space="preserve">Bank loan, dividends, income tax on distributions, overdraft facility</t>
  </si>
  <si>
    <t xml:space="preserve">Client_Register</t>
  </si>
  <si>
    <t xml:space="preserve">Client master data, terms, openings; retainer contracts</t>
  </si>
  <si>
    <t xml:space="preserve">Inputs</t>
  </si>
  <si>
    <t xml:space="preserve">Project_Register</t>
  </si>
  <si>
    <t xml:space="preserve">Project master data, effective dates, forecast hours at completion</t>
  </si>
  <si>
    <t xml:space="preserve">Assumptions</t>
  </si>
  <si>
    <t xml:space="preserve">Scalars, role mix, timeline and scenario drivers with the selector</t>
  </si>
  <si>
    <t xml:space="preserve">Inputs_Actuals</t>
  </si>
  <si>
    <t xml:space="preserve">Actual months and opening balances; the only place actual data is typed</t>
  </si>
  <si>
    <t xml:space="preserve">Budget_FY26</t>
  </si>
  <si>
    <t xml:space="preserve">The original FY2026 budget, never overwritten</t>
  </si>
  <si>
    <t xml:space="preserve">COLOUR LEGEND</t>
  </si>
  <si>
    <t xml:space="preserve">Input (typed value)</t>
  </si>
  <si>
    <t xml:space="preserve">Formula (calculated)</t>
  </si>
  <si>
    <t xml:space="preserve">Link from another sheet</t>
  </si>
  <si>
    <t xml:space="preserve">Actual month (column header)</t>
  </si>
  <si>
    <t xml:space="preserve">Forecast month (row 5 flag F)</t>
  </si>
  <si>
    <t xml:space="preserve">MODEL GUIDE</t>
  </si>
  <si>
    <t xml:space="preserve">PURPOSE</t>
  </si>
  <si>
    <t xml:space="preserve">An integrated monthly finance pack for a founder-led digital and creative agency in Tallinn that bills UK, US and EU clients in GBP, USD and EUR. It closes the month into a three-statement pack, values retainers, fixed-fee projects, time and materials and media management, measures utilisation and realisation by role, shows the profitability of every client with a full allocation to EBITDA, translates and revalues client balances, forecasts under three scenarios, projects cash week by week for 13 weeks and reports to the owners with quantified findings.</t>
  </si>
  <si>
    <t xml:space="preserve">Every number traces back: statement line to schedule, schedule to register or input, input to the document that evidences it in a real close (sales ledger, timesheets, project manager estimate, platform statement, payroll, bank statement, ECB rate table).</t>
  </si>
  <si>
    <t xml:space="preserve">HOW THE MODEL FLOWS</t>
  </si>
  <si>
    <t xml:space="preserve">1. Inputs_Actuals holds the actual months and the opening balance sheet. Client_Register holds client terms, currencies, VAT class and opening balances, plus the retainer contracts; Project_Register holds the fixed-fee projects. Assumptions holds tax rates, rate card, salaries, the role mix, the timeline and the scenario drivers (selector in C11).</t>
  </si>
  <si>
    <t xml:space="preserve">2. Retainers, Projects and TM_Media run each revenue stream in the invoice currency. Utilisation turns the hours of each work type into demand by role, compares it with capacity, buys the excess from freelancers and measures utilisation and realisation.</t>
  </si>
  <si>
    <t xml:space="preserve">3. Clients consolidates each client: revenue by stream, hours, invoicing incl. VAT, receipts, the receivable and the contract position. FX translates every flow at the monthly average rate and every balance at the month-end rate, and books the revaluation.</t>
  </si>
  <si>
    <t xml:space="preserve">4. People (payroll, bonus, TSD taxes), Overheads, Payables, VAT, Fixed_Assets and Financing roll every cost and balance. PL, BS and CF link only to schedules; CF is built indirectly and reconciled every month to a direct build of the schedule cash lines.</t>
  </si>
  <si>
    <t xml:space="preserve">5. BvA, Pipeline, Client_Profitability, KPIs, Scenarios, Cash_13W, the agings and CFO_Report are reporting layers; Checks proves the structure holds.</t>
  </si>
  <si>
    <t xml:space="preserve">REVENUE RECOGNITION AND NET REVENUE</t>
  </si>
  <si>
    <t xml:space="preserve">Retainers: earned evenly over each month as the client simultaneously receives and consumes the service (IFRS 15.35(a)); quarterly advance invoices create contract liabilities (IFRS 15.106).</t>
  </si>
  <si>
    <t xml:space="preserve">Fixed-fee projects: over time because the work has no alternative use and the contracts give a right to payment for work done (IFRS 15.35(c)); progress on the input method, % complete = hours to date / estimated hours at completion (IFRS 15.B18 to B19). Contract value includes approved change requests. Milestone invoicing (deposit, interim, balance) creates contract assets or liabilities.</t>
  </si>
  <si>
    <t xml:space="preserve">Time and materials: hours x rate less write-offs, invoiced on the 1st for the prior month (unbilled work is a contract asset).</t>
  </si>
  <si>
    <t xml:space="preserve">Media: spend bought in the agency name and rebilled at cost is not revenue because the platform, not the agency, controls the media before it runs (agent, IFRS 15.B34 to B37); the management fee is revenue. For VAT the agency is deemed to buy and supply the media itself (VAT Directive 2006/112/EC, Art. 28).</t>
  </si>
  <si>
    <t xml:space="preserve">Production (photography, print, video) bought in and recharged with a mark-up is revenue gross because the agency directs it as part of its deliverable (principal, IFRS 15.B35 to B37). Net revenue = revenue less production bought in; gross billings add media spend back for information.</t>
  </si>
  <si>
    <t xml:space="preserve">FOREIGN EXCHANGE</t>
  </si>
  <si>
    <t xml:space="preserve">Rates are units of currency per EUR. Month-end rates are ECB euro foreign exchange reference rates (31-Dec-25 to 31-Aug-26, checked 23-Sep-26). Monthly average rates are the mean of the opening and closing month-end rates: a live build uses the ECB monthly averages from the ECB Data Portal.</t>
  </si>
  <si>
    <t xml:space="preserve">Revenue, invoices and receipts translate at the monthly average rate; receivables and contract positions at the month-end rate. The revaluation (closing position less opening, less flows at average rates) is the FX gain or loss on client balances (IAS 21.23 and 21.28). Receipts are converted to EUR on receipt: the model holds no GBP or USD cash.</t>
  </si>
  <si>
    <t xml:space="preserve">Forecast rates = last actual month-end rate x (1 + scenario shift). The Downside weakens the pound and dollar by 6%, the Upside strengthens them by 3%.</t>
  </si>
  <si>
    <t xml:space="preserve">ESTONIAN TAX MECHANICS MODELLED</t>
  </si>
  <si>
    <t xml:space="preserve">VAT: 24% standard rate from 1-Jul-25 (EMTA). Charged to Estonian clients only; services to business clients in other EU countries and outside the EU are taxed where the client is established (0% in Estonia, KMD field 3; VAT Act s10). Media platforms, foreign freelancers and foreign software are reverse charged. Monthly KMD return and payment by the 20th; a refund position is credited to the prepayment account and offset against other taxes (EMTA, refund within 60 days of the application).</t>
  </si>
  <si>
    <t xml:space="preserve">Payroll: social tax 33%, employer unemployment insurance 0.8%, employee unemployment insurance 1.6%, funded pension 2%, income tax 22% above the EUR 700 monthly basic exemption (EMTA, 2026). Declared on TSD and paid by the 10th of the following month.</t>
  </si>
  <si>
    <t xml:space="preserve">Corporate income tax: no tax on retained profit; 22/78 of each net dividend (22% of the gross distribution) is due by the 10th of the following month (EMTA). The planned 2% security tax on profits was abolished in June 2025 and the rise of income tax to 24% did not take effect for 2026.</t>
  </si>
  <si>
    <t xml:space="preserve">CONVENTIONS</t>
  </si>
  <si>
    <t xml:space="preserve">Revenue and receipts positive; costs, payments and deductions negative on the P&amp;L and cash flow. Schedules show movements with their natural sign and a closing line. Client schedules are in the invoice currency unless a line says EUR.</t>
  </si>
  <si>
    <t xml:space="preserve">Blue on yellow = input; black = formula; green = link from another sheet. Columns C and D on monthly sheets are FY2026 and FY2027 totals (sum, average or closing balance as labelled).</t>
  </si>
  <si>
    <t xml:space="preserve">Row 5 of every monthly sheet flags A (actual) or F (forecast); formulas switch on it, so nothing is overwritten when a month becomes actual.</t>
  </si>
  <si>
    <t xml:space="preserve">Pipeline retainers and projects are weighted by the win probability of the selected scenario; every flow (revenue, hours, invoices, cash) is scaled by it. Planned hires tied to pipeline work carry the same probability.</t>
  </si>
  <si>
    <t xml:space="preserve">MONTH-END PROCEDURE (adding September as an actual month)</t>
  </si>
  <si>
    <t xml:space="preserve">1. Enter the September ECB rates, retainer fees, hours and invoices, project hours, estimates to complete, revenue and invoices, time and materials and media, client receipts, headcount and timesheets by role, freelancer cost, payroll, overheads, capex, supplier payments and any dividend.</t>
  </si>
  <si>
    <t xml:space="preserve">2. Change the last actual month on Assumptions to Sep-26. Flags, overservicing and write-off rates, project positions, agings and the 13-week opening follow from that cell.</t>
  </si>
  <si>
    <t xml:space="preserve">3. Update the registers: renewals signed or lost, new retainers and projects, win probabilities, start dates and budget hours.</t>
  </si>
  <si>
    <t xml:space="preserve">4. Refresh the AR and AP agings from the ledger listings; the tie-out rows must return zero. Roll the 13-week window forward one month.</t>
  </si>
  <si>
    <t xml:space="preserve">5. Refresh the scenario snapshots, reread Checks until the overall status is OK, then rewrite the CFO report findings against the new numbers.</t>
  </si>
  <si>
    <t xml:space="preserve">SCENARIO REFRESH</t>
  </si>
  <si>
    <t xml:space="preserve">Set Assumptions!C11 to 1 (Base), 2 (Downside) and 3 (Upside) in turn. After each recalculation copy Scenarios column F and paste values into C, D or E. The check column confirms the snapshot for the selected scenario matches the live model.</t>
  </si>
  <si>
    <t xml:space="preserve">KNOWN SIMPLIFICATIONS</t>
  </si>
  <si>
    <t xml:space="preserve">Hours by role follow a fixed mix per work type from the FY2025 timesheet analysis; a live build maps each timesheet line to its client, work type and person.</t>
  </si>
  <si>
    <t xml:space="preserve">Contract positions are netted per client, not per contract; a client with a project billed ahead and unbilled time and materials shows the net.</t>
  </si>
  <si>
    <t xml:space="preserve">Forecast receipts and payments are sized by days on the amounts invoiced; actual months use bank figures. Headcount changes only through the hiring plan: leavers are replaced like for like.</t>
  </si>
  <si>
    <t xml:space="preserve">Freelancer hours fill any demand above 88% utilisation of each role; in practice some of that work would be declined or rescheduled.</t>
  </si>
  <si>
    <t xml:space="preserve">All staff are assumed to contribute 2% to the funded pension and to use the basic exemption through this employer.</t>
  </si>
  <si>
    <t xml:space="preserve">INFORMATION NEEDED TO CONVERT THIS INTO A CLIENT BUILD</t>
  </si>
  <si>
    <t xml:space="preserve">Timesheet export by person, client, project and task for FY2025 and FY2026, to replace the role mix and to measure overservicing by client and role.</t>
  </si>
  <si>
    <t xml:space="preserve">Signed retainer letters and statements of work with scope hours, rate cards, renewal dates and notice periods, to replace the register terms.</t>
  </si>
  <si>
    <t xml:space="preserve">Project manager estimates to complete for every live project each month, signed off by the head of delivery.</t>
  </si>
  <si>
    <t xml:space="preserve">Media platform invoices and the client media funding terms (prepaid or credit), to measure the media float exactly.</t>
  </si>
  <si>
    <t xml:space="preserve">ECB monthly average rates and the bank conversion rates actually achieved, to split realised from unrealised FX.</t>
  </si>
  <si>
    <t xml:space="preserve">Payroll register with individual pension rates and exemption elections, and the FY2027 pay review.</t>
  </si>
  <si>
    <t xml:space="preserve">MODEL INTEGRITY CHECKS</t>
  </si>
  <si>
    <t xml:space="preserve">Every check is a live formula. A value of zero (or at least zero where a minimum is tested) returns OK. The overall status shows on the Cover.</t>
  </si>
  <si>
    <t xml:space="preserve">Check</t>
  </si>
  <si>
    <t xml:space="preserve">What it proves</t>
  </si>
  <si>
    <t xml:space="preserve">Value</t>
  </si>
  <si>
    <t xml:space="preserve">Tolerance</t>
  </si>
  <si>
    <t xml:space="preserve">Status</t>
  </si>
  <si>
    <t xml:space="preserve">STATEMENT INTEGRITY</t>
  </si>
  <si>
    <t xml:space="preserve">Balance sheet balances in every month</t>
  </si>
  <si>
    <t xml:space="preserve">Total assets less liabilities and equity, all 24 months</t>
  </si>
  <si>
    <t xml:space="preserve">Cash flow: indirect method equals direct method every month</t>
  </si>
  <si>
    <t xml:space="preserve">P&amp;L and balance sheet movements equal the sum of the schedule cash lines</t>
  </si>
  <si>
    <t xml:space="preserve">Closing cash on the cash flow equals balance sheet cash</t>
  </si>
  <si>
    <t xml:space="preserve">Link integrity</t>
  </si>
  <si>
    <t xml:space="preserve">Retained earnings roll: closing = opening + profit - dividends</t>
  </si>
  <si>
    <t xml:space="preserve">Equity roll-forward to Dec-27</t>
  </si>
  <si>
    <t xml:space="preserve">EBITDA plus FX on the cash flow equals the P&amp;L</t>
  </si>
  <si>
    <t xml:space="preserve">Add-backs complete</t>
  </si>
  <si>
    <t xml:space="preserve">Opening balance sheet at 31-Dec-25 balances</t>
  </si>
  <si>
    <t xml:space="preserve">FY2025 closing balances on Inputs_Actuals and Client_Register</t>
  </si>
  <si>
    <t xml:space="preserve">REVENUE, DELIVERY AND CLIENT ENGINES</t>
  </si>
  <si>
    <t xml:space="preserve">Project revenue in actual months equals % complete x contract value</t>
  </si>
  <si>
    <t xml:space="preserve">Ledger revenue agrees with the hours-based method, every project, every actual month</t>
  </si>
  <si>
    <t xml:space="preserve">Hours by role equal hours booked to clients, every month</t>
  </si>
  <si>
    <t xml:space="preserve">Timesheets by role and by client agree; forecast demand by role keeps every hour</t>
  </si>
  <si>
    <t xml:space="preserve">Role mixes sum to 100% for every work type</t>
  </si>
  <si>
    <t xml:space="preserve">No hours lost in the role split</t>
  </si>
  <si>
    <t xml:space="preserve">Milestone shares sum to 100%</t>
  </si>
  <si>
    <t xml:space="preserve">Every project is fully invoiced</t>
  </si>
  <si>
    <t xml:space="preserve">Percentage complete stays between 0% and 100%</t>
  </si>
  <si>
    <t xml:space="preserve">No over-recognition</t>
  </si>
  <si>
    <t xml:space="preserve">Projects finishing within the horizon are fully invoiced by completion</t>
  </si>
  <si>
    <t xml:space="preserve">Milestone invoicing reaches the contract value</t>
  </si>
  <si>
    <t xml:space="preserve">Net revenue by client equals the P&amp;L, every month</t>
  </si>
  <si>
    <t xml:space="preserve">Client blocks and currency totals agree</t>
  </si>
  <si>
    <t xml:space="preserve">Client profitability: allocated net contributions equal EBITDA</t>
  </si>
  <si>
    <t xml:space="preserve">Delivery variance and operating costs are fully allocated</t>
  </si>
  <si>
    <t xml:space="preserve">Client profitability: net revenue equals the P&amp;L</t>
  </si>
  <si>
    <t xml:space="preserve">EUR clients show no FX revaluation</t>
  </si>
  <si>
    <t xml:space="preserve">Translation logic is neutral where no currency is involved</t>
  </si>
  <si>
    <t xml:space="preserve">WORKING CAPITAL TIE-OUTS</t>
  </si>
  <si>
    <t xml:space="preserve">AR aging: GBP clients tie to the ledger (EUR)</t>
  </si>
  <si>
    <t xml:space="preserve">Item listing agrees with the balance at the last actual month</t>
  </si>
  <si>
    <t xml:space="preserve">AR aging: USD clients tie to the ledger (EUR)</t>
  </si>
  <si>
    <t xml:space="preserve">AR aging: EUR clients tie to the ledger (EUR)</t>
  </si>
  <si>
    <t xml:space="preserve">AP aging: freelancers tie to the Payables schedule</t>
  </si>
  <si>
    <t xml:space="preserve">AP aging: media platforms tie to the Payables schedule</t>
  </si>
  <si>
    <t xml:space="preserve">AP aging: production suppliers tie to the Payables schedule</t>
  </si>
  <si>
    <t xml:space="preserve">AP aging: overheads tie to the Payables schedule</t>
  </si>
  <si>
    <t xml:space="preserve">FORECAST CONTROLS</t>
  </si>
  <si>
    <t xml:space="preserve">13-week cash forecast reconciles to the monthly balance sheet at 31-Dec-26</t>
  </si>
  <si>
    <t xml:space="preserve">Weekly phasing distributes exactly the monthly cash lines</t>
  </si>
  <si>
    <t xml:space="preserve">Scenario snapshots are current for the selected scenario</t>
  </si>
  <si>
    <t xml:space="preserve">Live column equals the stored snapshot</t>
  </si>
  <si>
    <t xml:space="preserve">Budget vs actual net revenue bridge reconciles to the P&amp;L variance</t>
  </si>
  <si>
    <t xml:space="preserve">Hours plus rate effects equal the net revenue variance</t>
  </si>
  <si>
    <t xml:space="preserve">EBITDA walk from budget to actual reconciles</t>
  </si>
  <si>
    <t xml:space="preserve">Variances explain the full EBITDA gap</t>
  </si>
  <si>
    <t xml:space="preserve">SIGN AND RANGE CHECKS (minimum values, must not be negative)</t>
  </si>
  <si>
    <t xml:space="preserve">Trade receivables never negative</t>
  </si>
  <si>
    <t xml:space="preserve">Trade payables never negative</t>
  </si>
  <si>
    <t xml:space="preserve">Freelancer hours never negative (every role, every month)</t>
  </si>
  <si>
    <t xml:space="preserve">Specific provision never negative</t>
  </si>
  <si>
    <t xml:space="preserve">Fixed asset net book value never negative</t>
  </si>
  <si>
    <t xml:space="preserve">Bank loan never negative</t>
  </si>
  <si>
    <t xml:space="preserve">Timeline: months flagged actual equal the last actual month number</t>
  </si>
  <si>
    <t xml:space="preserve">OVERALL MODEL STATUS</t>
  </si>
  <si>
    <t xml:space="preserve">BUSINESS WARNINGS (not model errors: flags for the CFO report)</t>
  </si>
  <si>
    <t xml:space="preserve">Lowest month-end cash in the forecast (selected scenario)</t>
  </si>
  <si>
    <t xml:space="preserve">Below the buffer means a facility draw or action</t>
  </si>
  <si>
    <t xml:space="preserve">Lowest 13-week closing cash</t>
  </si>
  <si>
    <t xml:space="preserve">Lowest forecast delivery utilisation</t>
  </si>
  <si>
    <t xml:space="preserve">Below 70% signals idle capacity</t>
  </si>
  <si>
    <t xml:space="preserve">Largest client share of FY2027 net revenue</t>
  </si>
  <si>
    <t xml:space="preserve">Above 15% is a concentration risk</t>
  </si>
  <si>
    <t xml:space="preserve">Retainer overservicing, FY2026</t>
  </si>
  <si>
    <t xml:space="preserve">Above 10% gives margin away</t>
  </si>
  <si>
    <t xml:space="preserve">Disputed receivable at the last actual month (EUR)</t>
  </si>
  <si>
    <t xml:space="preserve">Settlement risk</t>
  </si>
  <si>
    <t xml:space="preserve">CFO MANAGEMENT REPORT</t>
  </si>
  <si>
    <t xml:space="preserve">FICTIONAL DEMONSTRATION: Kaldmere Studio OÜ and every figure in this report were generated for demonstration purposes.</t>
  </si>
  <si>
    <t xml:space="preserve">1. HEADLINE</t>
  </si>
  <si>
    <t xml:space="preserve">2. WHAT HAPPENED YEAR TO DATE (BvA bridge, Utilisation, Retainers)</t>
  </si>
  <si>
    <t xml:space="preserve">3. CLIENTS: CONCENTRATION, PROFITABILITY, OVERSERVICING AND RENEWALS (Client_Profitability, Retainers, Pipeline)</t>
  </si>
  <si>
    <t xml:space="preserve">4. PEOPLE, UTILISATION AND REALISATION (Utilisation, People)</t>
  </si>
  <si>
    <t xml:space="preserve">5. CASH, WORKING CAPITAL, FX AND THE 13 WEEKS (BS, Clients, FX, Cash_13W)</t>
  </si>
  <si>
    <t xml:space="preserve">6. SCENARIOS (Scenarios sheet; snapshot values from three full model runs)</t>
  </si>
  <si>
    <t xml:space="preserve">7. RISK REGISTER (scored 1 to 5; score = likelihood x impact)</t>
  </si>
  <si>
    <t xml:space="preserve">Risk</t>
  </si>
  <si>
    <t xml:space="preserve">Likelihood</t>
  </si>
  <si>
    <t xml:space="preserve">Impact</t>
  </si>
  <si>
    <t xml:space="preserve">Score</t>
  </si>
  <si>
    <t xml:space="preserve">Mitigation and owner</t>
  </si>
  <si>
    <t xml:space="preserve">Renewal proposal in October with the growth marketing pod; executive sponsor meeting before 30 November; grow two mid-size retainers to reduce the share below 15%; Founder and CEO</t>
  </si>
  <si>
    <t xml:space="preserve">Weekly 13-week review; media clients on 30-day or prepaid terms; overdraft confirmed; Operations and finance manager</t>
  </si>
  <si>
    <t xml:space="preserve">Monthly scope report to each client; change requests above scope; renew on actual hours; Head of delivery (founder until the hire)</t>
  </si>
  <si>
    <t xml:space="preserve">Fix the go-live date; settlement meeting in October; completion milestone invoiced on go-live; Founder and CEO</t>
  </si>
  <si>
    <t xml:space="preserve">Cross-train one content producer into design production; freelancer panel for development peaks; Operations and finance manager</t>
  </si>
  <si>
    <t xml:space="preserve">Pipeline review every two weeks with win-probability discipline; two retainer wins targeted by Q1-27; New business director</t>
  </si>
  <si>
    <t xml:space="preserve">Price new UK and US work with an FX review clause; convert receipts on arrival; consider forward cover once GBP exposure is stable; Operations and finance manager</t>
  </si>
  <si>
    <t xml:space="preserve">Pay inflation and hiring ahead of work: the FY2027 pay review and new roles land before the new work</t>
  </si>
  <si>
    <t xml:space="preserve">Hires only against signed work; pay review tied to utilisation and realisation targets; Founder and CEO</t>
  </si>
  <si>
    <t xml:space="preserve">Media prepaid or on 30 days from the next insertion order; credit limit on unpaid media; Operations and finance manager</t>
  </si>
  <si>
    <t xml:space="preserve">Key person: the founder leads creative direction and new business</t>
  </si>
  <si>
    <t xml:space="preserve">Head of delivery hire in April; second pitch lead from the account team; documented client relationships; Founder and CEO</t>
  </si>
  <si>
    <t xml:space="preserve">8. ACTIONS (owner, due date, status)</t>
  </si>
  <si>
    <t xml:space="preserve">Action</t>
  </si>
  <si>
    <t xml:space="preserve">Owner</t>
  </si>
  <si>
    <t xml:space="preserve">Due</t>
  </si>
  <si>
    <t xml:space="preserve">Measure of done</t>
  </si>
  <si>
    <t xml:space="preserve">Halvergate renewal: proposal with the growth marketing pod and a scope matched to actual hours, signed before 30 November</t>
  </si>
  <si>
    <t xml:space="preserve">Founder and CEO</t>
  </si>
  <si>
    <t xml:space="preserve">Open</t>
  </si>
  <si>
    <t xml:space="preserve">Renewal signed; FY2027 fee agreed</t>
  </si>
  <si>
    <t xml:space="preserve">Scope reviews with Voltaro, Quillfield and Halvergate: change requests above scope, monthly scope report</t>
  </si>
  <si>
    <t xml:space="preserve">Head of delivery (founder until April)</t>
  </si>
  <si>
    <t xml:space="preserve">Overservicing below 10% of scope for Q4</t>
  </si>
  <si>
    <t xml:space="preserve">Norbeck: fix the go-live date, settle CR-03 and invoice the completion milestone on go-live</t>
  </si>
  <si>
    <t xml:space="preserve">CR-03 settled in writing; milestone invoiced</t>
  </si>
  <si>
    <t xml:space="preserve">Move Harrowgate media to prepaid or 30-day terms from the next insertion order; collect the June media invoice</t>
  </si>
  <si>
    <t xml:space="preserve">Operations and finance manager</t>
  </si>
  <si>
    <t xml:space="preserve">In progress</t>
  </si>
  <si>
    <t xml:space="preserve">Harrowgate balance below one month of billing</t>
  </si>
  <si>
    <t xml:space="preserve">Confirm the EUR 300k overdraft through FY2027 and pre-agree drawing mechanics for the weeks around the 10th</t>
  </si>
  <si>
    <t xml:space="preserve">Facility letter on file</t>
  </si>
  <si>
    <t xml:space="preserve">Cross-train one content producer into design production before the Quillfield campaign</t>
  </si>
  <si>
    <t xml:space="preserve">Design freelancer hours down by half in Q4</t>
  </si>
  <si>
    <t xml:space="preserve">Link each delivery hire to signed work: January developer only on the Ferncliff signature, March designer only on Brackenholt</t>
  </si>
  <si>
    <t xml:space="preserve">No hire without a signed statement of work</t>
  </si>
  <si>
    <t xml:space="preserve">FX clause in new UK and US statements of work; review forward cover once GBP receipts are predictable</t>
  </si>
  <si>
    <t xml:space="preserve">Clause in every new contract</t>
  </si>
  <si>
    <t xml:space="preserve">Downside plan: triggers (renewal, utilisation, overservicing, media balances), the capacity response and the order of cash levers</t>
  </si>
  <si>
    <t xml:space="preserve">BriQs CFO</t>
  </si>
  <si>
    <t xml:space="preserve">Plan approved by the founder and attached to the October pack</t>
  </si>
  <si>
    <t xml:space="preserve">9. INFORMATION NEEDED BEFORE THE SEPTEMBER CLOSE</t>
  </si>
  <si>
    <t xml:space="preserve">Timesheet export by person, client and task for September, with the scope hours of every retainer.</t>
  </si>
  <si>
    <t xml:space="preserve">Project manager estimates to complete for Norbeck, Tidewell, Van Lienden, Marlowe Street and the Halvergate onboarding project.</t>
  </si>
  <si>
    <t xml:space="preserve">Norbeck position on CR-03 in writing and the agreed go-live date.</t>
  </si>
  <si>
    <t xml:space="preserve">Platform invoices for September media and the client media funding terms (prepaid or credit) for every media client.</t>
  </si>
  <si>
    <t xml:space="preserve">ECB monthly average rates for September and the bank conversion rates achieved on GBP and USD receipts.</t>
  </si>
  <si>
    <t xml:space="preserve">The FY2027 pay review proposal and the head of delivery offer, before the FY2027 budget is set.</t>
  </si>
  <si>
    <t xml:space="preserve">KPI DASHBOARD</t>
  </si>
  <si>
    <t xml:space="preserve">Live links into the statements and schedules. C = FY2026 (actual + forecast), D = FY2027. Monthly columns follow the Timeline.</t>
  </si>
  <si>
    <t xml:space="preserve">Line</t>
  </si>
  <si>
    <t xml:space="preserve">Basis</t>
  </si>
  <si>
    <t xml:space="preserve">FY2026</t>
  </si>
  <si>
    <t xml:space="preserve">FY2027</t>
  </si>
  <si>
    <t xml:space="preserve">Actual (A) or Forecast (F)</t>
  </si>
  <si>
    <t xml:space="preserve">A + F</t>
  </si>
  <si>
    <t xml:space="preserve">F</t>
  </si>
  <si>
    <t xml:space="preserve">Month number</t>
  </si>
  <si>
    <t xml:space="preserve">GROWTH AND MARGIN</t>
  </si>
  <si>
    <t xml:space="preserve">Net revenue</t>
  </si>
  <si>
    <t xml:space="preserve">Net revenue growth vs same month prior year</t>
  </si>
  <si>
    <t xml:space="preserve">Delivery contribution %</t>
  </si>
  <si>
    <t xml:space="preserve">EBITDA % of net revenue</t>
  </si>
  <si>
    <t xml:space="preserve">People cost % of net revenue</t>
  </si>
  <si>
    <t xml:space="preserve">EBITDA</t>
  </si>
  <si>
    <t xml:space="preserve">Net revenue per head, annualised</t>
  </si>
  <si>
    <t xml:space="preserve">UTILISATION AND REALISATION</t>
  </si>
  <si>
    <t xml:space="preserve">Utilisation of productive hours (own staff)</t>
  </si>
  <si>
    <t xml:space="preserve">Realisation (fee revenue / standard value)</t>
  </si>
  <si>
    <t xml:space="preserve">Effective fee per hour (EUR)</t>
  </si>
  <si>
    <t xml:space="preserve">Retainer overservicing %</t>
  </si>
  <si>
    <t xml:space="preserve">Freelancer share of billable hours</t>
  </si>
  <si>
    <t xml:space="preserve">Headcount</t>
  </si>
  <si>
    <t xml:space="preserve">CLIENTS AND NEW BUSINESS</t>
  </si>
  <si>
    <t xml:space="preserve">Retainer share of fee revenue</t>
  </si>
  <si>
    <t xml:space="preserve">Largest client share of net revenue</t>
  </si>
  <si>
    <t xml:space="preserve">Active retainers (weighted)</t>
  </si>
  <si>
    <t xml:space="preserve">Share of fee revenue not yet won</t>
  </si>
  <si>
    <t xml:space="preserve">Signed project fees still to earn</t>
  </si>
  <si>
    <t xml:space="preserve">WORKING CAPITAL, FX AND CASH</t>
  </si>
  <si>
    <t xml:space="preserve">Debtor days</t>
  </si>
  <si>
    <t xml:space="preserve">Contract assets (unbilled work)</t>
  </si>
  <si>
    <t xml:space="preserve">Contract liabilities (invoiced in advance)</t>
  </si>
  <si>
    <t xml:space="preserve">Media platform payables</t>
  </si>
  <si>
    <t xml:space="preserve">FX gains / (losses) on client balances</t>
  </si>
  <si>
    <t xml:space="preserve">Share of revenue invoiced in GBP and USD</t>
  </si>
  <si>
    <t xml:space="preserve">Cash at bank</t>
  </si>
  <si>
    <t xml:space="preserve">Cash headroom over the minimum buffer</t>
  </si>
  <si>
    <t xml:space="preserve">Operating cash flow, trailing three months</t>
  </si>
  <si>
    <t xml:space="preserve">PROFIT AND LOSS</t>
  </si>
  <si>
    <t xml:space="preserve">Monthly, actual Jan-26 to Aug-26 and forecast to Dec-27 for the selected scenario. Revenue positive, costs negative. Net revenue (revenue less production bought in) is the agency top line: margins, payroll ratios and EBITDA % are measured on it.</t>
  </si>
  <si>
    <t xml:space="preserve">REVENUE (IFRS 15; media spend rebilled at cost is excluded, agent)</t>
  </si>
  <si>
    <t xml:space="preserve">Retainer fees</t>
  </si>
  <si>
    <t xml:space="preserve">Fixed-fee project fees</t>
  </si>
  <si>
    <t xml:space="preserve">Time and materials</t>
  </si>
  <si>
    <t xml:space="preserve">Media management fees</t>
  </si>
  <si>
    <t xml:space="preserve">Production recharged to clients (principal)</t>
  </si>
  <si>
    <t xml:space="preserve">REVENUE</t>
  </si>
  <si>
    <t xml:space="preserve">Production bought in (photography, print, video)</t>
  </si>
  <si>
    <t xml:space="preserve">NET REVENUE</t>
  </si>
  <si>
    <t xml:space="preserve">revenue - production bought in</t>
  </si>
  <si>
    <t xml:space="preserve">Net revenue growth vs prior month (memo)</t>
  </si>
  <si>
    <t xml:space="preserve">DELIVERY COSTS</t>
  </si>
  <si>
    <t xml:space="preserve">Delivery team payroll (incl. social tax and unemployment insurance)</t>
  </si>
  <si>
    <t xml:space="preserve">Freelancers</t>
  </si>
  <si>
    <t xml:space="preserve">TOTAL DELIVERY COSTS</t>
  </si>
  <si>
    <t xml:space="preserve">DELIVERY CONTRIBUTION</t>
  </si>
  <si>
    <t xml:space="preserve">net revenue - delivery costs</t>
  </si>
  <si>
    <t xml:space="preserve">Delivery contribution % of net revenue</t>
  </si>
  <si>
    <t xml:space="preserve">OPERATING COSTS</t>
  </si>
  <si>
    <t xml:space="preserve">Leadership, new business and operations payroll</t>
  </si>
  <si>
    <t xml:space="preserve">Bonus accrual (all staff, incl. employer taxes)</t>
  </si>
  <si>
    <t xml:space="preserve">Rent and service charges, Tallinn office</t>
  </si>
  <si>
    <t xml:space="preserve">Software and tools</t>
  </si>
  <si>
    <t xml:space="preserve">Client travel (UK, US, EU)</t>
  </si>
  <si>
    <t xml:space="preserve">New business, awards and events</t>
  </si>
  <si>
    <t xml:space="preserve">Recruitment</t>
  </si>
  <si>
    <t xml:space="preserve">Training and conferences</t>
  </si>
  <si>
    <t xml:space="preserve">Accounting, legal and professional fees</t>
  </si>
  <si>
    <t xml:space="preserve">Insurance (professional indemnity, cyber)</t>
  </si>
  <si>
    <t xml:space="preserve">Office and administration</t>
  </si>
  <si>
    <t xml:space="preserve">IT support and equipment leases</t>
  </si>
  <si>
    <t xml:space="preserve">Bank, payment and FX charges</t>
  </si>
  <si>
    <t xml:space="preserve">Bad debts (specific provision)</t>
  </si>
  <si>
    <t xml:space="preserve">TOTAL OPERATING COSTS</t>
  </si>
  <si>
    <t xml:space="preserve">BELOW EBITDA</t>
  </si>
  <si>
    <t xml:space="preserve">Depreciation</t>
  </si>
  <si>
    <t xml:space="preserve">EBIT</t>
  </si>
  <si>
    <t xml:space="preserve">Loan interest</t>
  </si>
  <si>
    <t xml:space="preserve">PROFIT BEFORE TAX</t>
  </si>
  <si>
    <t xml:space="preserve">Income tax on distributions (22/78 of dividends declared)</t>
  </si>
  <si>
    <t xml:space="preserve">NET PROFIT</t>
  </si>
  <si>
    <t xml:space="preserve">Net profit % of net revenue</t>
  </si>
  <si>
    <t xml:space="preserve">MEMO</t>
  </si>
  <si>
    <t xml:space="preserve">Gross billings ex VAT (revenue + media spend rebilled)</t>
  </si>
  <si>
    <t xml:space="preserve">People cost (payroll, bonus, freelancers) % of net revenue</t>
  </si>
  <si>
    <t xml:space="preserve">Estonian companies pay income tax only when profit is distributed: there is no tax charge on retained profit, so profit before tax equals net profit in months without a dividend.</t>
  </si>
  <si>
    <t xml:space="preserve">BALANCE SHEET</t>
  </si>
  <si>
    <t xml:space="preserve">Every balance comes from a schedule. The check row must be zero in every month. Client balances in GBP and USD are translated at the month-end ECB rate.</t>
  </si>
  <si>
    <t xml:space="preserve">ASSETS</t>
  </si>
  <si>
    <t xml:space="preserve">Trade receivables, net of the specific provision</t>
  </si>
  <si>
    <t xml:space="preserve">Contract assets (work done, not yet invoiced)</t>
  </si>
  <si>
    <t xml:space="preserve">Prepayments and deposits</t>
  </si>
  <si>
    <t xml:space="preserve">opening balance, no movement modelled</t>
  </si>
  <si>
    <t xml:space="preserve">Fixed assets, net book value</t>
  </si>
  <si>
    <t xml:space="preserve">TOTAL ASSETS</t>
  </si>
  <si>
    <t xml:space="preserve">LIABILITIES</t>
  </si>
  <si>
    <t xml:space="preserve">Trade payables: freelancers</t>
  </si>
  <si>
    <t xml:space="preserve">Trade payables: media platforms</t>
  </si>
  <si>
    <t xml:space="preserve">Trade payables: production suppliers</t>
  </si>
  <si>
    <t xml:space="preserve">Trade payables: overhead suppliers</t>
  </si>
  <si>
    <t xml:space="preserve">Payroll taxes payable (TSD)</t>
  </si>
  <si>
    <t xml:space="preserve">VAT payable / (recoverable)</t>
  </si>
  <si>
    <t xml:space="preserve">Bonus provision</t>
  </si>
  <si>
    <t xml:space="preserve">Income tax on distributions payable</t>
  </si>
  <si>
    <t xml:space="preserve">Bank loan: current portion</t>
  </si>
  <si>
    <t xml:space="preserve">Bank loan: non-current portion</t>
  </si>
  <si>
    <t xml:space="preserve">TOTAL LIABILITIES</t>
  </si>
  <si>
    <t xml:space="preserve">EQUITY</t>
  </si>
  <si>
    <t xml:space="preserve">Share capital</t>
  </si>
  <si>
    <t xml:space="preserve">opening balance</t>
  </si>
  <si>
    <t xml:space="preserve">Retained earnings: opening (memo)</t>
  </si>
  <si>
    <t xml:space="preserve">Net profit (memo)</t>
  </si>
  <si>
    <t xml:space="preserve">Dividends (memo)</t>
  </si>
  <si>
    <t xml:space="preserve">Retained earnings</t>
  </si>
  <si>
    <t xml:space="preserve">TOTAL EQUITY</t>
  </si>
  <si>
    <t xml:space="preserve">TOTAL LIABILITIES AND EQUITY</t>
  </si>
  <si>
    <t xml:space="preserve">CHECK: assets less liabilities and equity (must be zero)</t>
  </si>
  <si>
    <t xml:space="preserve">Working capital (receivables + contract assets + prepayments - trade payables - contract liabilities)</t>
  </si>
  <si>
    <t xml:space="preserve">Net cash / (debt): cash less bank loan</t>
  </si>
  <si>
    <t xml:space="preserve">CASH FLOW STATEMENT</t>
  </si>
  <si>
    <t xml:space="preserve">Indirect method from the P&amp;L and balance sheet movements, reconciled every month to a direct build of the cash lines in each schedule. FX on client balances is non-cash until collected: it sits in profit and in the receivable and contract balance movements.</t>
  </si>
  <si>
    <t xml:space="preserve">OPERATING ACTIVITIES (indirect)</t>
  </si>
  <si>
    <t xml:space="preserve">Net profit</t>
  </si>
  <si>
    <t xml:space="preserve">Add back: depreciation</t>
  </si>
  <si>
    <t xml:space="preserve">Add back: interest</t>
  </si>
  <si>
    <t xml:space="preserve">Add back: income tax on distributions</t>
  </si>
  <si>
    <t xml:space="preserve">EBITDA plus FX on client balances (check equals PL)</t>
  </si>
  <si>
    <t xml:space="preserve">(Increase) / decrease in trade receivables</t>
  </si>
  <si>
    <t xml:space="preserve">BS movement</t>
  </si>
  <si>
    <t xml:space="preserve">(Increase) / decrease in contract assets</t>
  </si>
  <si>
    <t xml:space="preserve">(Increase) / decrease in prepayments</t>
  </si>
  <si>
    <t xml:space="preserve">Increase / (decrease) in freelancer payables</t>
  </si>
  <si>
    <t xml:space="preserve">Increase / (decrease) in media platform payables</t>
  </si>
  <si>
    <t xml:space="preserve">Increase / (decrease) in production payables</t>
  </si>
  <si>
    <t xml:space="preserve">Increase / (decrease) in overhead payables</t>
  </si>
  <si>
    <t xml:space="preserve">Increase / (decrease) in payroll taxes payable</t>
  </si>
  <si>
    <t xml:space="preserve">Increase / (decrease) in VAT payable</t>
  </si>
  <si>
    <t xml:space="preserve">Increase / (decrease) in contract liabilities</t>
  </si>
  <si>
    <t xml:space="preserve">Increase / (decrease) in the bonus provision</t>
  </si>
  <si>
    <t xml:space="preserve">Cash generated from operations</t>
  </si>
  <si>
    <t xml:space="preserve">Interest paid</t>
  </si>
  <si>
    <t xml:space="preserve">Income tax on distributions paid</t>
  </si>
  <si>
    <t xml:space="preserve">NET CASH FROM OPERATING ACTIVITIES</t>
  </si>
  <si>
    <t xml:space="preserve">INVESTING ACTIVITIES</t>
  </si>
  <si>
    <t xml:space="preserve">Capital expenditure</t>
  </si>
  <si>
    <t xml:space="preserve">FINANCING ACTIVITIES</t>
  </si>
  <si>
    <t xml:space="preserve">Bank loan repaid</t>
  </si>
  <si>
    <t xml:space="preserve">Dividends paid</t>
  </si>
  <si>
    <t xml:space="preserve">NET CASH FROM FINANCING ACTIVITIES</t>
  </si>
  <si>
    <t xml:space="preserve">CASH</t>
  </si>
  <si>
    <t xml:space="preserve">NET CASH FLOW FOR THE MONTH</t>
  </si>
  <si>
    <t xml:space="preserve">Opening cash</t>
  </si>
  <si>
    <t xml:space="preserve">CLOSING CASH (to balance sheet)</t>
  </si>
  <si>
    <t xml:space="preserve">Free cash flow (operating less capex)</t>
  </si>
  <si>
    <t xml:space="preserve">memo</t>
  </si>
  <si>
    <t xml:space="preserve">DIRECT METHOD (built from the cash lines of each schedule)</t>
  </si>
  <si>
    <t xml:space="preserve">Receipts: GBP clients (converted on receipt)</t>
  </si>
  <si>
    <t xml:space="preserve">schedule cash line</t>
  </si>
  <si>
    <t xml:space="preserve">Receipts: USD clients (converted on receipt)</t>
  </si>
  <si>
    <t xml:space="preserve">Receipts: EUR clients</t>
  </si>
  <si>
    <t xml:space="preserve">Net salaries (month end)</t>
  </si>
  <si>
    <t xml:space="preserve">Net bonus (March)</t>
  </si>
  <si>
    <t xml:space="preserve">Payroll taxes (TSD, 10th)</t>
  </si>
  <si>
    <t xml:space="preserve">Media platforms</t>
  </si>
  <si>
    <t xml:space="preserve">Production suppliers</t>
  </si>
  <si>
    <t xml:space="preserve">Overhead suppliers</t>
  </si>
  <si>
    <t xml:space="preserve">VAT paid / (credited)</t>
  </si>
  <si>
    <t xml:space="preserve">Income tax on distributions (10th)</t>
  </si>
  <si>
    <t xml:space="preserve">Capex incl. VAT</t>
  </si>
  <si>
    <t xml:space="preserve">Loan principal</t>
  </si>
  <si>
    <t xml:space="preserve">Dividends</t>
  </si>
  <si>
    <t xml:space="preserve">NET CASH FLOW, DIRECT METHOD</t>
  </si>
  <si>
    <t xml:space="preserve">CHECK: indirect less direct (must be zero)</t>
  </si>
  <si>
    <t xml:space="preserve">BUDGET VS ACTUAL: YEAR TO DATE AND FULL-YEAR OUTLOOK (EUR)</t>
  </si>
  <si>
    <t xml:space="preserve">YTD = actual months per the Timeline. Outlook = actual months plus the selected scenario forecast for the rest of FY2026. Variance = actual or outlook less budget; favourable is positive for revenue and profit lines, and for cost lines shown as negatives.</t>
  </si>
  <si>
    <t xml:space="preserve">YTD actual</t>
  </si>
  <si>
    <t xml:space="preserve">YTD budget</t>
  </si>
  <si>
    <t xml:space="preserve">Variance</t>
  </si>
  <si>
    <t xml:space="preserve">Variance %</t>
  </si>
  <si>
    <t xml:space="preserve">FY26 outlook</t>
  </si>
  <si>
    <t xml:space="preserve">FY26 budget</t>
  </si>
  <si>
    <t xml:space="preserve">Commentary</t>
  </si>
  <si>
    <t xml:space="preserve">HOURS</t>
  </si>
  <si>
    <t xml:space="preserve">Retainer hours</t>
  </si>
  <si>
    <t xml:space="preserve">Project hours</t>
  </si>
  <si>
    <t xml:space="preserve">Time and materials hours</t>
  </si>
  <si>
    <t xml:space="preserve">Media management hours</t>
  </si>
  <si>
    <t xml:space="preserve">Production bought in</t>
  </si>
  <si>
    <t xml:space="preserve">Delivery team payroll</t>
  </si>
  <si>
    <t xml:space="preserve">Bonus accrual</t>
  </si>
  <si>
    <t xml:space="preserve">Bad debts</t>
  </si>
  <si>
    <t xml:space="preserve">FX gains / (losses)</t>
  </si>
  <si>
    <t xml:space="preserve">BALANCES AT THE LAST ACTUAL MONTH (YTD columns) AND AT DEC-26 (FY columns)</t>
  </si>
  <si>
    <t xml:space="preserve">Trade receivables</t>
  </si>
  <si>
    <t xml:space="preserve">Contract assets less contract liabilities</t>
  </si>
  <si>
    <t xml:space="preserve">YTD NET REVENUE BRIDGE BY STREAM: HOURS EFFECT AND RATE EFFECT (rate = net revenue per hour)</t>
  </si>
  <si>
    <t xml:space="preserve">Stream</t>
  </si>
  <si>
    <t xml:space="preserve">Actual net revenue YTD</t>
  </si>
  <si>
    <t xml:space="preserve">Budget net revenue YTD</t>
  </si>
  <si>
    <t xml:space="preserve">Actual hours YTD</t>
  </si>
  <si>
    <t xml:space="preserve">Budget hours YTD</t>
  </si>
  <si>
    <t xml:space="preserve">Actual rate</t>
  </si>
  <si>
    <t xml:space="preserve">Budget rate</t>
  </si>
  <si>
    <t xml:space="preserve">Hours effect</t>
  </si>
  <si>
    <t xml:space="preserve">Rate effect</t>
  </si>
  <si>
    <t xml:space="preserve">Total variance</t>
  </si>
  <si>
    <t xml:space="preserve">Fixed-fee projects</t>
  </si>
  <si>
    <t xml:space="preserve">Media management</t>
  </si>
  <si>
    <t xml:space="preserve">Production mark-up (no hours)</t>
  </si>
  <si>
    <t xml:space="preserve">TOTAL</t>
  </si>
  <si>
    <t xml:space="preserve">Check: total variance less the P&amp;L net revenue variance (must be zero)</t>
  </si>
  <si>
    <t xml:space="preserve">Hours effect = (actual - budget hours) x budget net revenue per hour. Rate effect = actual hours x (actual - budget rate); the rate captures pricing, realisation, overservicing, write-offs and FX. Together they equal the net revenue variance.</t>
  </si>
  <si>
    <t xml:space="preserve">EBITDA WALK, YTD (budget to actual)</t>
  </si>
  <si>
    <t xml:space="preserve">Budget EBITDA YTD</t>
  </si>
  <si>
    <t xml:space="preserve">Net revenue variance</t>
  </si>
  <si>
    <t xml:space="preserve">Delivery payroll variance</t>
  </si>
  <si>
    <t xml:space="preserve">Freelancer variance</t>
  </si>
  <si>
    <t xml:space="preserve">Leadership, new business and operations payroll and bonus variance</t>
  </si>
  <si>
    <t xml:space="preserve">Overheads and bad debts variance</t>
  </si>
  <si>
    <t xml:space="preserve">Actual EBITDA YTD</t>
  </si>
  <si>
    <t xml:space="preserve">Check: budget + variances - actual (must be zero)</t>
  </si>
  <si>
    <t xml:space="preserve">SCENARIO COMPARISON: BASE, DOWNSIDE (WORST) AND UPSIDE (BEST)</t>
  </si>
  <si>
    <t xml:space="preserve">Columns C to E hold snapshot values written by running the full model under each scenario (run date in B5). Column F is live for the scenario selected on Assumptions and must equal its snapshot (check in G). Drivers below are live links to Assumptions.</t>
  </si>
  <si>
    <t xml:space="preserve">Snapshot run date</t>
  </si>
  <si>
    <t xml:space="preserve">23-Sep-2026</t>
  </si>
  <si>
    <t xml:space="preserve">Selected scenario (live)</t>
  </si>
  <si>
    <t xml:space="preserve">Metric</t>
  </si>
  <si>
    <t xml:space="preserve">Unit</t>
  </si>
  <si>
    <t xml:space="preserve">Base</t>
  </si>
  <si>
    <t xml:space="preserve">Downside</t>
  </si>
  <si>
    <t xml:space="preserve">Upside</t>
  </si>
  <si>
    <t xml:space="preserve">Live (selected)</t>
  </si>
  <si>
    <t xml:space="preserve">Check: live less snapshot</t>
  </si>
  <si>
    <t xml:space="preserve">FY2026 net revenue (outlook)</t>
  </si>
  <si>
    <t xml:space="preserve">EUR</t>
  </si>
  <si>
    <t xml:space="preserve">FY2027 net revenue</t>
  </si>
  <si>
    <t xml:space="preserve">FY2026 delivery contribution %</t>
  </si>
  <si>
    <t xml:space="preserve">%</t>
  </si>
  <si>
    <t xml:space="preserve">FY2026 EBITDA</t>
  </si>
  <si>
    <t xml:space="preserve">FY2026 EBITDA % of net revenue</t>
  </si>
  <si>
    <t xml:space="preserve">FY2026 net profit</t>
  </si>
  <si>
    <t xml:space="preserve">FY2027 delivery contribution %</t>
  </si>
  <si>
    <t xml:space="preserve">FY2027 EBITDA</t>
  </si>
  <si>
    <t xml:space="preserve">FY2027 EBITDA % of net revenue</t>
  </si>
  <si>
    <t xml:space="preserve">FY2027 net profit</t>
  </si>
  <si>
    <t xml:space="preserve">Cash at 31-Dec-26</t>
  </si>
  <si>
    <t xml:space="preserve">Cash at 31-Dec-27</t>
  </si>
  <si>
    <t xml:space="preserve">Lowest month-end cash, Sep-26 to Dec-27</t>
  </si>
  <si>
    <t xml:space="preserve">Month of the lowest cash</t>
  </si>
  <si>
    <t xml:space="preserve">month</t>
  </si>
  <si>
    <t xml:space="preserve">Headroom at the lowest point vs the cash buffer (negative = shortfall)</t>
  </si>
  <si>
    <t xml:space="preserve">FY2027 utilisation (own staff)</t>
  </si>
  <si>
    <t xml:space="preserve">FY2027 realisation</t>
  </si>
  <si>
    <t xml:space="preserve">FY2027 retainer fees</t>
  </si>
  <si>
    <t xml:space="preserve">FY2027 largest client share of net revenue</t>
  </si>
  <si>
    <t xml:space="preserve">FY2027 fee revenue not yet won (share)</t>
  </si>
  <si>
    <t xml:space="preserve">FY2027 FX gains / (losses)</t>
  </si>
  <si>
    <t xml:space="preserve">Headcount at Dec-27</t>
  </si>
  <si>
    <t xml:space="preserve">number</t>
  </si>
  <si>
    <t xml:space="preserve">Total of check column (must be zero)</t>
  </si>
  <si>
    <t xml:space="preserve">KEY DRIVERS BY SCENARIO (live links to Assumptions)</t>
  </si>
  <si>
    <t xml:space="preserve">Renewal and win probabilities by contract and scenario are on Client_Register and Project_Register. To refresh the snapshots: set Assumptions!C11 to 1, 2 and 3 in turn, recalculate, and paste column F as values into C, D and E.</t>
  </si>
  <si>
    <t xml:space="preserve">13-WEEK CASH FORECAST, DIRECT METHOD (EUR)</t>
  </si>
  <si>
    <t xml:space="preserve">Weeks ending Friday 18-Sep-26 to Friday 11-Dec-26. Opening cash = Aug-26 ledger cash plus actual movements 1 to 11 Sep (column C, per bank). Each line phases its monthly model amount (columns D to G) into weeks with the timing rule in column B; closing cash at 11-Dec plus the remaining December flows reconciles to the monthly balance sheet.</t>
  </si>
  <si>
    <t xml:space="preserve">Timing rule</t>
  </si>
  <si>
    <t xml:space="preserve">Actual 1-11 Sep</t>
  </si>
  <si>
    <t xml:space="preserve">Sep-26 monthly model</t>
  </si>
  <si>
    <t xml:space="preserve">Oct-26 monthly model</t>
  </si>
  <si>
    <t xml:space="preserve">Nov-26 monthly model</t>
  </si>
  <si>
    <t xml:space="preserve">Dec-26 monthly model</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</si>
  <si>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</si>
  <si>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</si>
  <si>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</si>
  <si>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</si>
  <si>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</si>
  <si>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</si>
  <si>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</si>
  <si>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</si>
  <si>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</si>
  <si>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</si>
  <si>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</si>
  <si>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</si>
  <si>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</si>
  <si>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Total 13 weeks</t>
  </si>
  <si>
    <t xml:space="preserve">Share of December inside the window</t>
  </si>
  <si>
    <t xml:space="preserve">December flows after 11-Dec</t>
  </si>
  <si>
    <t xml:space="preserve">Week ending (Friday)</t>
  </si>
  <si>
    <t xml:space="preserve">Week starting (Saturday)</t>
  </si>
  <si>
    <t xml:space="preserve">opening as at</t>
  </si>
  <si>
    <t xml:space="preserve">Month of week end</t>
  </si>
  <si>
    <t xml:space="preserve">PHASING WEIGHTS BY RULE AND MONTH (helper rows)</t>
  </si>
  <si>
    <t xml:space="preserve">Calendar days: share of Sep-26 falling in the week (after the opening date)</t>
  </si>
  <si>
    <t xml:space="preserve">Calendar days: share of Oct-26 falling in the week (after the opening date)</t>
  </si>
  <si>
    <t xml:space="preserve">Calendar days: share of Nov-26 falling in the week (after the opening date)</t>
  </si>
  <si>
    <t xml:space="preserve">Calendar days: share of Dec-26 falling in the week (after the opening date)</t>
  </si>
  <si>
    <t xml:space="preserve">10th (tax day) of Sep-26 falls in the week (1/0), after the opening date only</t>
  </si>
  <si>
    <t xml:space="preserve">10th (tax day) of Oct-26 falls in the week (1/0), after the opening date only</t>
  </si>
  <si>
    <t xml:space="preserve">10th (tax day) of Nov-26 falls in the week (1/0), after the opening date only</t>
  </si>
  <si>
    <t xml:space="preserve">10th (tax day) of Dec-26 falls in the week (1/0), after the opening date only</t>
  </si>
  <si>
    <t xml:space="preserve">20th (VAT day) of Sep-26 falls in the week (1/0), after the opening date only</t>
  </si>
  <si>
    <t xml:space="preserve">20th (VAT day) of Oct-26 falls in the week (1/0), after the opening date only</t>
  </si>
  <si>
    <t xml:space="preserve">20th (VAT day) of Nov-26 falls in the week (1/0), after the opening date only</t>
  </si>
  <si>
    <t xml:space="preserve">20th (VAT day) of Dec-26 falls in the week (1/0), after the opening date only</t>
  </si>
  <si>
    <t xml:space="preserve">25th (payment run) of Sep-26 falls in the week (1/0), after the opening date only</t>
  </si>
  <si>
    <t xml:space="preserve">25th (payment run) of Oct-26 falls in the week (1/0), after the opening date only</t>
  </si>
  <si>
    <t xml:space="preserve">25th (payment run) of Nov-26 falls in the week (1/0), after the opening date only</t>
  </si>
  <si>
    <t xml:space="preserve">25th (payment run) of Dec-26 falls in the week (1/0), after the opening date only</t>
  </si>
  <si>
    <t xml:space="preserve">month end of Sep-26 falls in the week (1/0), after the opening date only</t>
  </si>
  <si>
    <t xml:space="preserve">month end of Oct-26 falls in the week (1/0), after the opening date only</t>
  </si>
  <si>
    <t xml:space="preserve">month end of Nov-26 falls in the week (1/0), after the opening date only</t>
  </si>
  <si>
    <t xml:space="preserve">month end of Dec-26 falls in the week (1/0), after the opening date only</t>
  </si>
  <si>
    <t xml:space="preserve">RECEIPTS</t>
  </si>
  <si>
    <t xml:space="preserve">GBP clients (converted to EUR on receipt)</t>
  </si>
  <si>
    <t xml:space="preserve">calendar days</t>
  </si>
  <si>
    <t xml:space="preserve">USD clients (converted to EUR on receipt)</t>
  </si>
  <si>
    <t xml:space="preserve">EUR clients</t>
  </si>
  <si>
    <t xml:space="preserve">VAT refund credited against the TSD payment (10th)</t>
  </si>
  <si>
    <t xml:space="preserve">10th (tax day)</t>
  </si>
  <si>
    <t xml:space="preserve">TOTAL RECEIPTS</t>
  </si>
  <si>
    <t xml:space="preserve">n/a</t>
  </si>
  <si>
    <t xml:space="preserve">PAYMENTS</t>
  </si>
  <si>
    <t xml:space="preserve">Net salaries (last banking day)</t>
  </si>
  <si>
    <t xml:space="preserve">month end</t>
  </si>
  <si>
    <t xml:space="preserve">Net bonus (March only)</t>
  </si>
  <si>
    <t xml:space="preserve">Payroll taxes, TSD (10th)</t>
  </si>
  <si>
    <t xml:space="preserve">Freelancers (runs on the 15th and at month end)</t>
  </si>
  <si>
    <t xml:space="preserve">Media platforms (monthly invoices, 30 days)</t>
  </si>
  <si>
    <t xml:space="preserve">25th (payment run)</t>
  </si>
  <si>
    <t xml:space="preserve">Overhead suppliers (rent in advance, software, travel)</t>
  </si>
  <si>
    <t xml:space="preserve">VAT, monthly return (20th)</t>
  </si>
  <si>
    <t xml:space="preserve">20th (VAT day)</t>
  </si>
  <si>
    <t xml:space="preserve">Bank loan instalment (25th)</t>
  </si>
  <si>
    <t xml:space="preserve">TOTAL PAYMENTS</t>
  </si>
  <si>
    <t xml:space="preserve">NET CASH FLOW FOR THE WEEK</t>
  </si>
  <si>
    <t xml:space="preserve">ledger + actual to date</t>
  </si>
  <si>
    <t xml:space="preserve">CLOSING CASH</t>
  </si>
  <si>
    <t xml:space="preserve">CASH CONTROL</t>
  </si>
  <si>
    <t xml:space="preserve">Minimum cash buffer (board policy)</t>
  </si>
  <si>
    <t xml:space="preserve">HEADROOM / (SHORTFALL) VS BUFFER</t>
  </si>
  <si>
    <t xml:space="preserve">Low point in the 13 weeks</t>
  </si>
  <si>
    <t xml:space="preserve">Week ending of the low point</t>
  </si>
  <si>
    <t xml:space="preserve">Headroom at the low point (negative = action needed)</t>
  </si>
  <si>
    <t xml:space="preserve">Undrawn overdraft facility</t>
  </si>
  <si>
    <t xml:space="preserve">Facility headroom after covering any shortfall</t>
  </si>
  <si>
    <t xml:space="preserve">Tax paid in the window (TSD on the 10th, VAT on the 20th, income tax on distributions)</t>
  </si>
  <si>
    <t xml:space="preserve">RECONCILIATION TO THE MONTHLY MODEL</t>
  </si>
  <si>
    <t xml:space="preserve">Closing cash at the end of week 13 (11-Dec-26)</t>
  </si>
  <si>
    <t xml:space="preserve">Add: December flows after 11-Dec (column W, by line)</t>
  </si>
  <si>
    <t xml:space="preserve">Implied cash at 31-Dec-26</t>
  </si>
  <si>
    <t xml:space="preserve">Cash at 31-Dec-26 per the monthly balance sheet</t>
  </si>
  <si>
    <t xml:space="preserve">CHECK: difference (must be zero)</t>
  </si>
  <si>
    <t xml:space="preserve">LEVERS IF THE LOW POINT BREACHES THE BUFFER, IN ORDER</t>
  </si>
  <si>
    <t xml:space="preserve">CLIENT PROFITABILITY WITH FULL COST ALLOCATION (FY2026 OUTLOOK; FY2027 NET REVENUE FOR CONCENTRATION)</t>
  </si>
  <si>
    <t xml:space="preserve">Contribution = net revenue less delivery cost at standard (hours x standard cost rate of the work type). The delivery variance (idle time, freelancer premium) is allocated by hours; leadership, operations, bonus, overheads and bad debts by net revenue. Allocated net contributions add up to FY2026 EBITDA (check below).</t>
  </si>
  <si>
    <t xml:space="preserve">Client</t>
  </si>
  <si>
    <t xml:space="preserve">Net revenue YTD</t>
  </si>
  <si>
    <t xml:space="preserve">Net revenue FY2026</t>
  </si>
  <si>
    <t xml:space="preserve">Share of net revenue</t>
  </si>
  <si>
    <t xml:space="preserve">Hours FY2026</t>
  </si>
  <si>
    <t xml:space="preserve">Standard value FY2026</t>
  </si>
  <si>
    <t xml:space="preserve">Realisation</t>
  </si>
  <si>
    <t xml:space="preserve">Delivery cost at standard</t>
  </si>
  <si>
    <t xml:space="preserve">Contribution</t>
  </si>
  <si>
    <t xml:space="preserve">Contribution %</t>
  </si>
  <si>
    <t xml:space="preserve">Retainer overservice hours</t>
  </si>
  <si>
    <t xml:space="preserve">Share of delivery variance</t>
  </si>
  <si>
    <t xml:space="preserve">Share of operating costs</t>
  </si>
  <si>
    <t xml:space="preserve">Net contribution</t>
  </si>
  <si>
    <t xml:space="preserve">Net margin</t>
  </si>
  <si>
    <t xml:space="preserve">Net revenue FY2027</t>
  </si>
  <si>
    <t xml:space="preserve">Receivable at last actual (EUR)</t>
  </si>
  <si>
    <t xml:space="preserve">Debtor days at last actual</t>
  </si>
  <si>
    <t xml:space="preserve">Halvergate Money Ltd</t>
  </si>
  <si>
    <t xml:space="preserve">GBP</t>
  </si>
  <si>
    <t xml:space="preserve">Active</t>
  </si>
  <si>
    <t xml:space="preserve">Thornbury &amp; Vale Home Ltd</t>
  </si>
  <si>
    <t xml:space="preserve">Pellworth Health Ltd</t>
  </si>
  <si>
    <t xml:space="preserve">Ashgrove Mobility Ltd</t>
  </si>
  <si>
    <t xml:space="preserve">Tidewell Learning Ltd</t>
  </si>
  <si>
    <t xml:space="preserve">Ravenmoor Travel Ltd</t>
  </si>
  <si>
    <t xml:space="preserve">Marlowe Street Coffee Roasters Ltd</t>
  </si>
  <si>
    <t xml:space="preserve">Quillfield Software Inc.</t>
  </si>
  <si>
    <t xml:space="preserve">USD</t>
  </si>
  <si>
    <t xml:space="preserve">Harrowgate Outdoor Co.</t>
  </si>
  <si>
    <t xml:space="preserve">Norbeck Analytics Inc.</t>
  </si>
  <si>
    <t xml:space="preserve">Voltaro Energie GmbH</t>
  </si>
  <si>
    <t xml:space="preserve">Lindgrove Retail B.V.</t>
  </si>
  <si>
    <t xml:space="preserve">Veldhaven Fietsen B.V.</t>
  </si>
  <si>
    <t xml:space="preserve">Van Lienden Mobiliteit B.V.</t>
  </si>
  <si>
    <t xml:space="preserve">Sarvivaara Oy</t>
  </si>
  <si>
    <t xml:space="preserve">Ending</t>
  </si>
  <si>
    <t xml:space="preserve">Carrigmore Foods DAC</t>
  </si>
  <si>
    <t xml:space="preserve">Tammevalla Kodu OÜ</t>
  </si>
  <si>
    <t xml:space="preserve">Other Estonian clients (11 smaller accounts)</t>
  </si>
  <si>
    <t xml:space="preserve">Ferncliff Robotics Inc.</t>
  </si>
  <si>
    <t xml:space="preserve">Prospect</t>
  </si>
  <si>
    <t xml:space="preserve">Brackenholt Insurance Ltd</t>
  </si>
  <si>
    <t xml:space="preserve">Aurelwyn Hotels B.V.</t>
  </si>
  <si>
    <t xml:space="preserve">New clients not yet identified (FY2027 run-rate)</t>
  </si>
  <si>
    <t xml:space="preserve">FY2026 EBITDA per the P&amp;L</t>
  </si>
  <si>
    <t xml:space="preserve">Check: allocated net contributions less EBITDA (must be zero)</t>
  </si>
  <si>
    <t xml:space="preserve">Check: client net revenue less P&amp;L net revenue, FY2026 (must be zero)</t>
  </si>
  <si>
    <t xml:space="preserve">CONCENTRATION</t>
  </si>
  <si>
    <t xml:space="preserve">Largest client share of net revenue, FY2026</t>
  </si>
  <si>
    <t xml:space="preserve">Top five clients share of net revenue, FY2026</t>
  </si>
  <si>
    <t xml:space="preserve">Largest client share of net revenue, FY2027</t>
  </si>
  <si>
    <t xml:space="preserve">Realisation = net revenue / standard value at the rate card. Overservice hours are retainer hours worked above the scoped hours. Prospects carry win-weighted values.</t>
  </si>
  <si>
    <t xml:space="preserve">CLIENTS: REVENUE BY STREAM, HOURS, INVOICING, CASH, RECEIVABLES AND CONTRACT POSITIONS (invoice currency unless stated)</t>
  </si>
  <si>
    <t xml:space="preserve">One block per client. Invoiced = retainer, project and time and materials invoices + media fee + media spend rebilled + production recharges, plus 24% VAT for Estonian clients. Receipts: actual months per bank; forecast months collect the opening balance and invoices at the days to collect on Client_Register (plus scenario slip).</t>
  </si>
  <si>
    <t xml:space="preserve">HAL   Halvergate Money Ltd   |   United Kingdom   |   GBP   |   client since 2021</t>
  </si>
  <si>
    <t xml:space="preserve">Project fees</t>
  </si>
  <si>
    <t xml:space="preserve">Production recharged (principal)</t>
  </si>
  <si>
    <t xml:space="preserve">REVENUE (GBP)</t>
  </si>
  <si>
    <t xml:space="preserve">Revenue (EUR at the monthly average rate)</t>
  </si>
  <si>
    <t xml:space="preserve">Production cost (EUR)</t>
  </si>
  <si>
    <t xml:space="preserve">NET REVENUE (EUR)</t>
  </si>
  <si>
    <t xml:space="preserve">revenue - production cost</t>
  </si>
  <si>
    <t xml:space="preserve">Hours worked (retainers, projects, time and materials, media)</t>
  </si>
  <si>
    <t xml:space="preserve">engine sheets</t>
  </si>
  <si>
    <t xml:space="preserve">Delivery cost at standard (EUR)</t>
  </si>
  <si>
    <t xml:space="preserve">hours x standard cost rate of the work type</t>
  </si>
  <si>
    <t xml:space="preserve">Media spend rebilled at cost (not revenue)</t>
  </si>
  <si>
    <t xml:space="preserve">Invoiced ex VAT</t>
  </si>
  <si>
    <t xml:space="preserve">fees + media + recharges</t>
  </si>
  <si>
    <t xml:space="preserve">VAT on invoices</t>
  </si>
  <si>
    <t xml:space="preserve">Client_Register VAT rate</t>
  </si>
  <si>
    <t xml:space="preserve">INVOICED INCL. VAT</t>
  </si>
  <si>
    <t xml:space="preserve">Cash received</t>
  </si>
  <si>
    <t xml:space="preserve">A: bank; F: opening + invoiced - closing at days to collect</t>
  </si>
  <si>
    <t xml:space="preserve">RECEIVABLE (incl. VAT)</t>
  </si>
  <si>
    <t xml:space="preserve">opening + invoiced - received</t>
  </si>
  <si>
    <t xml:space="preserve">Contract position (+ unbilled work / - deferred income)</t>
  </si>
  <si>
    <t xml:space="preserve">opening + revenue - invoiced revenue</t>
  </si>
  <si>
    <t xml:space="preserve">Receivable (EUR at the month-end rate)</t>
  </si>
  <si>
    <t xml:space="preserve">Debtor days (receivable / average monthly invoicing of the last three months x 30.4)</t>
  </si>
  <si>
    <t xml:space="preserve">THV   Thornbury &amp; Vale Home Ltd   |   United Kingdom   |   GBP   |   client since 2022</t>
  </si>
  <si>
    <t xml:space="preserve">PEL   Pellworth Health Ltd   |   United Kingdom   |   GBP   |   client since 2026</t>
  </si>
  <si>
    <t xml:space="preserve">ASH   Ashgrove Mobility Ltd   |   United Kingdom   |   GBP   |   client since 2024</t>
  </si>
  <si>
    <t xml:space="preserve">TWL   Tidewell Learning Ltd   |   United Kingdom   |   GBP   |   client since 2025</t>
  </si>
  <si>
    <t xml:space="preserve">RVM   Ravenmoor Travel Ltd   |   United Kingdom   |   GBP   |   client since 2024</t>
  </si>
  <si>
    <t xml:space="preserve">MAR   Marlowe Street Coffee Roasters Ltd   |   United Kingdom   |   GBP   |   client since 2026</t>
  </si>
  <si>
    <t xml:space="preserve">QFS   Quillfield Software Inc.   |   United States   |   USD   |   client since 2026</t>
  </si>
  <si>
    <t xml:space="preserve">REVENUE (USD)</t>
  </si>
  <si>
    <t xml:space="preserve">HOC   Harrowgate Outdoor Co.   |   United States   |   USD   |   client since 2023</t>
  </si>
  <si>
    <t xml:space="preserve">NOR   Norbeck Analytics Inc.   |   United States   |   USD   |   client since 2025</t>
  </si>
  <si>
    <t xml:space="preserve">Disputed invoice held outside the collection curve (CR-03)</t>
  </si>
  <si>
    <t xml:space="preserve">raised May-26; settled in the scenario month</t>
  </si>
  <si>
    <t xml:space="preserve">Disputed invoice: cash recovered on settlement</t>
  </si>
  <si>
    <t xml:space="preserve">amount x recovery share</t>
  </si>
  <si>
    <t xml:space="preserve">Disputed invoice: written off on settlement</t>
  </si>
  <si>
    <t xml:space="preserve">amount x (1 - recovery share)</t>
  </si>
  <si>
    <t xml:space="preserve">opening + invoiced - received - written off</t>
  </si>
  <si>
    <t xml:space="preserve">VOL   Voltaro Energie GmbH   |   Germany   |   EUR   |   client since 2023</t>
  </si>
  <si>
    <t xml:space="preserve">REVENUE (EUR)</t>
  </si>
  <si>
    <t xml:space="preserve">LIN   Lindgrove Retail B.V.   |   Netherlands   |   EUR   |   client since 2024</t>
  </si>
  <si>
    <t xml:space="preserve">VDH   Veldhaven Fietsen B.V.   |   Netherlands   |   EUR   |   client since 2025</t>
  </si>
  <si>
    <t xml:space="preserve">VLM   Van Lienden Mobiliteit B.V.   |   Netherlands   |   EUR   |   client since 2026</t>
  </si>
  <si>
    <t xml:space="preserve">SRV   Sarvivaara Oy   |   Finland   |   EUR   |   client since 2022</t>
  </si>
  <si>
    <t xml:space="preserve">CAR   Carrigmore Foods DAC   |   Ireland   |   EUR   |   client since 2025</t>
  </si>
  <si>
    <t xml:space="preserve">TAM   Tammevalla Kodu OÜ   |   Estonia   |   EUR   |   client since 2020</t>
  </si>
  <si>
    <t xml:space="preserve">OTH   Other Estonian clients (11 smaller accounts)   |   Estonia   |   EUR   |   client since 2019</t>
  </si>
  <si>
    <t xml:space="preserve">FER   Ferncliff Robotics Inc.   |   United States   |   USD   |   prospect</t>
  </si>
  <si>
    <t xml:space="preserve">BRK   Brackenholt Insurance Ltd   |   United Kingdom   |   GBP   |   prospect</t>
  </si>
  <si>
    <t xml:space="preserve">AUR   Aurelwyn Hotels B.V.   |   Netherlands   |   EUR   |   prospect</t>
  </si>
  <si>
    <t xml:space="preserve">NEW   New clients not yet identified (FY2027 run-rate)   |   United Kingdom and EU   |   EUR   |   prospect</t>
  </si>
  <si>
    <t xml:space="preserve">TOTALS BY INVOICE CURRENCY (invoice currency)</t>
  </si>
  <si>
    <t xml:space="preserve">EUR clients: retainer fees</t>
  </si>
  <si>
    <t xml:space="preserve">sum of clients</t>
  </si>
  <si>
    <t xml:space="preserve">EUR clients: project fees</t>
  </si>
  <si>
    <t xml:space="preserve">EUR clients: time and materials</t>
  </si>
  <si>
    <t xml:space="preserve">EUR clients: media management fees</t>
  </si>
  <si>
    <t xml:space="preserve">EUR clients: production recharged</t>
  </si>
  <si>
    <t xml:space="preserve">EUR clients: media spend rebilled</t>
  </si>
  <si>
    <t xml:space="preserve">EUR clients: vat on invoices</t>
  </si>
  <si>
    <t xml:space="preserve">EUR clients: invoiced incl. vat</t>
  </si>
  <si>
    <t xml:space="preserve">EUR clients: cash received</t>
  </si>
  <si>
    <t xml:space="preserve">EUR clients: receivables</t>
  </si>
  <si>
    <t xml:space="preserve">EUR clients: contract position (net)</t>
  </si>
  <si>
    <t xml:space="preserve">EUR clients: written off</t>
  </si>
  <si>
    <t xml:space="preserve">EUR clients: contract assets (sum of positive positions)</t>
  </si>
  <si>
    <t xml:space="preserve">EUR clients: contract liabilities (sum of negative positions)</t>
  </si>
  <si>
    <t xml:space="preserve">GBP clients: retainer fees</t>
  </si>
  <si>
    <t xml:space="preserve">GBP clients: project fees</t>
  </si>
  <si>
    <t xml:space="preserve">GBP clients: time and materials</t>
  </si>
  <si>
    <t xml:space="preserve">GBP clients: media management fees</t>
  </si>
  <si>
    <t xml:space="preserve">GBP clients: production recharged</t>
  </si>
  <si>
    <t xml:space="preserve">GBP clients: media spend rebilled</t>
  </si>
  <si>
    <t xml:space="preserve">GBP clients: vat on invoices</t>
  </si>
  <si>
    <t xml:space="preserve">GBP clients: invoiced incl. vat</t>
  </si>
  <si>
    <t xml:space="preserve">GBP clients: cash received</t>
  </si>
  <si>
    <t xml:space="preserve">GBP clients: receivables</t>
  </si>
  <si>
    <t xml:space="preserve">GBP clients: contract position (net)</t>
  </si>
  <si>
    <t xml:space="preserve">GBP clients: written off</t>
  </si>
  <si>
    <t xml:space="preserve">GBP clients: contract assets (sum of positive positions)</t>
  </si>
  <si>
    <t xml:space="preserve">GBP clients: contract liabilities (sum of negative positions)</t>
  </si>
  <si>
    <t xml:space="preserve">USD clients: retainer fees</t>
  </si>
  <si>
    <t xml:space="preserve">USD clients: project fees</t>
  </si>
  <si>
    <t xml:space="preserve">USD clients: time and materials</t>
  </si>
  <si>
    <t xml:space="preserve">USD clients: media management fees</t>
  </si>
  <si>
    <t xml:space="preserve">USD clients: production recharged</t>
  </si>
  <si>
    <t xml:space="preserve">USD clients: media spend rebilled</t>
  </si>
  <si>
    <t xml:space="preserve">USD clients: vat on invoices</t>
  </si>
  <si>
    <t xml:space="preserve">USD clients: invoiced incl. vat</t>
  </si>
  <si>
    <t xml:space="preserve">USD clients: cash received</t>
  </si>
  <si>
    <t xml:space="preserve">USD clients: receivables</t>
  </si>
  <si>
    <t xml:space="preserve">USD clients: contract position (net)</t>
  </si>
  <si>
    <t xml:space="preserve">USD clients: written off</t>
  </si>
  <si>
    <t xml:space="preserve">USD clients: contract assets (sum of positive positions)</t>
  </si>
  <si>
    <t xml:space="preserve">USD clients: contract liabilities (sum of negative positions)</t>
  </si>
  <si>
    <t xml:space="preserve">TOTALS, ALL CLIENTS (EUR)</t>
  </si>
  <si>
    <t xml:space="preserve">Revenue</t>
  </si>
  <si>
    <t xml:space="preserve">Production cost</t>
  </si>
  <si>
    <t xml:space="preserve">Hours worked</t>
  </si>
  <si>
    <t xml:space="preserve">STANDARD VALUE OF HOURS AT THE RATE CARD, BY CLIENT (EUR)</t>
  </si>
  <si>
    <t xml:space="preserve">HAL: standard value of hours</t>
  </si>
  <si>
    <t xml:space="preserve">hours x rate card of the work type</t>
  </si>
  <si>
    <t xml:space="preserve">THV: standard value of hours</t>
  </si>
  <si>
    <t xml:space="preserve">PEL: standard value of hours</t>
  </si>
  <si>
    <t xml:space="preserve">ASH: standard value of hours</t>
  </si>
  <si>
    <t xml:space="preserve">TWL: standard value of hours</t>
  </si>
  <si>
    <t xml:space="preserve">RVM: standard value of hours</t>
  </si>
  <si>
    <t xml:space="preserve">MAR: standard value of hours</t>
  </si>
  <si>
    <t xml:space="preserve">QFS: standard value of hours</t>
  </si>
  <si>
    <t xml:space="preserve">HOC: standard value of hours</t>
  </si>
  <si>
    <t xml:space="preserve">NOR: standard value of hours</t>
  </si>
  <si>
    <t xml:space="preserve">VOL: standard value of hours</t>
  </si>
  <si>
    <t xml:space="preserve">LIN: standard value of hours</t>
  </si>
  <si>
    <t xml:space="preserve">VDH: standard value of hours</t>
  </si>
  <si>
    <t xml:space="preserve">VLM: standard value of hours</t>
  </si>
  <si>
    <t xml:space="preserve">SRV: standard value of hours</t>
  </si>
  <si>
    <t xml:space="preserve">CAR: standard value of hours</t>
  </si>
  <si>
    <t xml:space="preserve">TAM: standard value of hours</t>
  </si>
  <si>
    <t xml:space="preserve">OTH: standard value of hours</t>
  </si>
  <si>
    <t xml:space="preserve">FER: standard value of hours</t>
  </si>
  <si>
    <t xml:space="preserve">BRK: standard value of hours</t>
  </si>
  <si>
    <t xml:space="preserve">AUR: standard value of hours</t>
  </si>
  <si>
    <t xml:space="preserve">NEW: standard value of hours</t>
  </si>
  <si>
    <t xml:space="preserve">HAL: retainer overservice hours</t>
  </si>
  <si>
    <t xml:space="preserve">THV: retainer overservice hours</t>
  </si>
  <si>
    <t xml:space="preserve">PEL: retainer overservice hours</t>
  </si>
  <si>
    <t xml:space="preserve">ASH: retainer overservice hours</t>
  </si>
  <si>
    <t xml:space="preserve">TWL: retainer overservice hours</t>
  </si>
  <si>
    <t xml:space="preserve">RVM: retainer overservice hours</t>
  </si>
  <si>
    <t xml:space="preserve">MAR: retainer overservice hours</t>
  </si>
  <si>
    <t xml:space="preserve">QFS: retainer overservice hours</t>
  </si>
  <si>
    <t xml:space="preserve">HOC: retainer overservice hours</t>
  </si>
  <si>
    <t xml:space="preserve">NOR: retainer overservice hours</t>
  </si>
  <si>
    <t xml:space="preserve">VOL: retainer overservice hours</t>
  </si>
  <si>
    <t xml:space="preserve">LIN: retainer overservice hours</t>
  </si>
  <si>
    <t xml:space="preserve">VDH: retainer overservice hours</t>
  </si>
  <si>
    <t xml:space="preserve">VLM: retainer overservice hours</t>
  </si>
  <si>
    <t xml:space="preserve">SRV: retainer overservice hours</t>
  </si>
  <si>
    <t xml:space="preserve">CAR: retainer overservice hours</t>
  </si>
  <si>
    <t xml:space="preserve">TAM: retainer overservice hours</t>
  </si>
  <si>
    <t xml:space="preserve">OTH: retainer overservice hours</t>
  </si>
  <si>
    <t xml:space="preserve">FER: retainer overservice hours</t>
  </si>
  <si>
    <t xml:space="preserve">BRK: retainer overservice hours</t>
  </si>
  <si>
    <t xml:space="preserve">AUR: retainer overservice hours</t>
  </si>
  <si>
    <t xml:space="preserve">NEW: retainer overservice hours</t>
  </si>
  <si>
    <t xml:space="preserve">RETAINERS: FEES, SCOPED AND WORKED HOURS, OVERSERVICING AND INVOICING (invoice currency unless stated)</t>
  </si>
  <si>
    <t xml:space="preserve">Actual months from the ledger and timesheets. Forecast: monthly fee x active weight (1 in the current term; renewal probability after it; win probability for pipeline contracts) x renewal uplift. Hours worked = scoped hours x (1 + forecast overservicing). Fees are earned evenly over each month as the client receives and consumes the service (IFRS 15.35(a)); invoices raised ahead of the service are contract liabilities (IFRS 15.106).</t>
  </si>
  <si>
    <t xml:space="preserve">R-HAL   Halvergate Money Ltd   |   Product design and development retainers   |   GBP   |   Active</t>
  </si>
  <si>
    <t xml:space="preserve">Active weight (1 in term; renewal or win probability after it)</t>
  </si>
  <si>
    <t xml:space="preserve">Fee recognised (GBP)</t>
  </si>
  <si>
    <t xml:space="preserve">A: ledger; F: fee x weight x renewal uplift</t>
  </si>
  <si>
    <t xml:space="preserve">Fee recognised (EUR at the monthly average rate)</t>
  </si>
  <si>
    <t xml:space="preserve">fee / average rate</t>
  </si>
  <si>
    <t xml:space="preserve">Scoped hours</t>
  </si>
  <si>
    <t xml:space="preserve">scoped hours x weight</t>
  </si>
  <si>
    <t xml:space="preserve">A: timesheets; F: scoped x (1 + forecast overservicing)</t>
  </si>
  <si>
    <t xml:space="preserve">Overservice hours (worked above scope)</t>
  </si>
  <si>
    <t xml:space="preserve">worked - scoped</t>
  </si>
  <si>
    <t xml:space="preserve">Overservice cost at standard (EUR)</t>
  </si>
  <si>
    <t xml:space="preserve">overservice hours x standard cost rate of the work type</t>
  </si>
  <si>
    <t xml:space="preserve">Invoiced (monthly in advance)</t>
  </si>
  <si>
    <t xml:space="preserve">A: sales ledger; F: billing rule</t>
  </si>
  <si>
    <t xml:space="preserve">R-THV   Thornbury &amp; Vale Home Ltd   |   Brand and content retainers   |   GBP   |   Active</t>
  </si>
  <si>
    <t xml:space="preserve">Invoiced (quarterly in advance)</t>
  </si>
  <si>
    <t xml:space="preserve">R-RVM   Ravenmoor Travel Ltd   |   Product design and development retainers   |   GBP   |   Active</t>
  </si>
  <si>
    <t xml:space="preserve">R-PEL   Pellworth Health Ltd   |   Brand and content retainers   |   GBP   |   Active</t>
  </si>
  <si>
    <t xml:space="preserve">R-QFS   Quillfield Software Inc.   |   Product design and development retainers   |   USD   |   Active</t>
  </si>
  <si>
    <t xml:space="preserve">Fee recognised (USD)</t>
  </si>
  <si>
    <t xml:space="preserve">R-HOC   Harrowgate Outdoor Co.   |   Performance retainers   |   USD   |   Active</t>
  </si>
  <si>
    <t xml:space="preserve">R-VOL   Voltaro Energie GmbH   |   Brand and content retainers   |   EUR   |   Active</t>
  </si>
  <si>
    <t xml:space="preserve">Fee recognised (EUR)</t>
  </si>
  <si>
    <t xml:space="preserve">R-LIN   Lindgrove Retail B.V.   |   Performance retainers   |   EUR   |   Active</t>
  </si>
  <si>
    <t xml:space="preserve">R-VDH   Veldhaven Fietsen B.V.   |   Performance retainers   |   EUR   |   Active</t>
  </si>
  <si>
    <t xml:space="preserve">R-SRV   Sarvivaara Oy   |   Brand and content retainers   |   EUR   |   Ending</t>
  </si>
  <si>
    <t xml:space="preserve">R-TAM   Tammevalla Kodu OÜ   |   Performance retainers   |   EUR   |   Active</t>
  </si>
  <si>
    <t xml:space="preserve">R-FER   Ferncliff Robotics Inc.   |   Product design and development retainers   |   USD   |   Pipeline</t>
  </si>
  <si>
    <t xml:space="preserve">R-HAL2   Halvergate Money Ltd   |   Performance retainers   |   GBP   |   Pipeline</t>
  </si>
  <si>
    <t xml:space="preserve">R-AUR   Aurelwyn Hotels B.V.   |   Brand and content retainers   |   EUR   |   Pipeline</t>
  </si>
  <si>
    <t xml:space="preserve">R-BRK   Brackenholt Insurance Ltd   |   Brand and content retainers   |   GBP   |   Pipeline</t>
  </si>
  <si>
    <t xml:space="preserve">TOTALS BY RETAINER TYPE (EUR and hours)</t>
  </si>
  <si>
    <t xml:space="preserve">Brand and content retainers: fees (EUR)</t>
  </si>
  <si>
    <t xml:space="preserve">sum of contracts</t>
  </si>
  <si>
    <t xml:space="preserve">Brand and content retainers: scoped hours</t>
  </si>
  <si>
    <t xml:space="preserve">Brand and content retainers: hours worked</t>
  </si>
  <si>
    <t xml:space="preserve">Performance retainers: fees (EUR)</t>
  </si>
  <si>
    <t xml:space="preserve">Performance retainers: scoped hours</t>
  </si>
  <si>
    <t xml:space="preserve">Performance retainers: hours worked</t>
  </si>
  <si>
    <t xml:space="preserve">Product design and development retainers: fees (EUR)</t>
  </si>
  <si>
    <t xml:space="preserve">Product design and development retainers: scoped hours</t>
  </si>
  <si>
    <t xml:space="preserve">Product design and development retainers: hours worked</t>
  </si>
  <si>
    <t xml:space="preserve">RETAINER FEES (EUR)</t>
  </si>
  <si>
    <t xml:space="preserve">all contracts</t>
  </si>
  <si>
    <t xml:space="preserve">of which contracts signed at the last actual month</t>
  </si>
  <si>
    <t xml:space="preserve">of which pipeline contracts (win-weighted)</t>
  </si>
  <si>
    <t xml:space="preserve">Overservice hours</t>
  </si>
  <si>
    <t xml:space="preserve">Overservicing % (hours above scope / scoped hours)</t>
  </si>
  <si>
    <t xml:space="preserve">Active retainers (weighted count)</t>
  </si>
  <si>
    <t xml:space="preserve">Retainer fee per hour worked (EUR)</t>
  </si>
  <si>
    <t xml:space="preserve">FIXED-FEE PROJECTS: HOURS, PERCENTAGE OF COMPLETION, MILESTONE INVOICING AND PRODUCTION RECHARGES (invoice currency unless stated)</t>
  </si>
  <si>
    <t xml:space="preserve">Revenue over time where the work has no alternative use and the contract gives a right to payment for work done (IFRS 15.35(c)), measured on hours: % complete = hours to date / estimated hours at completion (input method, IFRS 15.B18 to B19). Actual months from timesheets, the project manager estimate to complete and the ledger; forecast months spread the remaining hours on an S-curve to the effective completion date. Production bought in and recharged with a mark-up is revenue gross (principal, IFRS 15.B34 to B37).</t>
  </si>
  <si>
    <t xml:space="preserve">P-2505   Ecommerce website rebuild   |   Carrigmore Foods DAC   |   EUR   |   Completed</t>
  </si>
  <si>
    <t xml:space="preserve">Programme position (elapsed share of duration)</t>
  </si>
  <si>
    <t xml:space="preserve">effective dates, Project_Register</t>
  </si>
  <si>
    <t xml:space="preserve">S-curve: cumulative share at month end</t>
  </si>
  <si>
    <t xml:space="preserve">3x^2 - 2x^3</t>
  </si>
  <si>
    <t xml:space="preserve">S-curve: cumulative share at prior month end</t>
  </si>
  <si>
    <t xml:space="preserve">A: timesheets; F: remaining hours x S-curve</t>
  </si>
  <si>
    <t xml:space="preserve">Hours to date</t>
  </si>
  <si>
    <t xml:space="preserve">opening + hours</t>
  </si>
  <si>
    <t xml:space="preserve">Estimated hours at completion</t>
  </si>
  <si>
    <t xml:space="preserve">A: hours to date + estimate to complete; F: Project_Register</t>
  </si>
  <si>
    <t xml:space="preserve">Percentage complete</t>
  </si>
  <si>
    <t xml:space="preserve">hours to date / hours at completion</t>
  </si>
  <si>
    <t xml:space="preserve">Contract value in force</t>
  </si>
  <si>
    <t xml:space="preserve">A: contract incl. approved change requests; F: probability-weighted fee</t>
  </si>
  <si>
    <t xml:space="preserve">Fee revenue to date</t>
  </si>
  <si>
    <t xml:space="preserve">A: ledger; F: % complete x contract value</t>
  </si>
  <si>
    <t xml:space="preserve">FEE REVENUE IN THE MONTH (EUR)</t>
  </si>
  <si>
    <t xml:space="preserve">change in revenue to date</t>
  </si>
  <si>
    <t xml:space="preserve">Milestone invoicing due to date</t>
  </si>
  <si>
    <t xml:space="preserve">contract value x (deposit at start + interim at mid-point + balance at completion)</t>
  </si>
  <si>
    <t xml:space="preserve">Fee invoiced</t>
  </si>
  <si>
    <t xml:space="preserve">A: sales ledger; F: tops up to the milestone due</t>
  </si>
  <si>
    <t xml:space="preserve">Fee invoiced to date</t>
  </si>
  <si>
    <t xml:space="preserve">Contract position: revenue to date less invoiced</t>
  </si>
  <si>
    <t xml:space="preserve">+ unbilled work / - invoiced ahead</t>
  </si>
  <si>
    <t xml:space="preserve">Remaining fee to earn (secured if signed; pipeline weighted)</t>
  </si>
  <si>
    <t xml:space="preserve">Check (actual months): revenue to date less % complete x contract value</t>
  </si>
  <si>
    <t xml:space="preserve">must be zero</t>
  </si>
  <si>
    <t xml:space="preserve">P-2506   Booking app redesign   |   Ravenmoor Travel Ltd   |   GBP   |   Completed</t>
  </si>
  <si>
    <t xml:space="preserve">FEE REVENUE IN THE MONTH (GBP)</t>
  </si>
  <si>
    <t xml:space="preserve">P-2507   Web platform rebuild   |   Halvergate Money Ltd   |   GBP   |   Completed</t>
  </si>
  <si>
    <t xml:space="preserve">P-2601   Marketing website and design system rebuild   |   Norbeck Analytics Inc.   |   USD   |   In progress</t>
  </si>
  <si>
    <t xml:space="preserve">FEE REVENUE IN THE MONTH (USD)</t>
  </si>
  <si>
    <t xml:space="preserve">P-2602   Learning platform UX and front-end build   |   Tidewell Learning Ltd   |   GBP   |   In progress</t>
  </si>
  <si>
    <t xml:space="preserve">P-2603   Brand identity and website   |   Van Lienden Mobiliteit B.V.   |   EUR   |   In progress</t>
  </si>
  <si>
    <t xml:space="preserve">P-2604   Packaging range and ecommerce site   |   Marlowe Street Coffee Roasters Ltd   |   GBP   |   In progress</t>
  </si>
  <si>
    <t xml:space="preserve">Third-party production cost (EUR)</t>
  </si>
  <si>
    <t xml:space="preserve">A: purchase ledger; F: remaining budget x S-curve</t>
  </si>
  <si>
    <t xml:space="preserve">Production recharged to the client (GBP)</t>
  </si>
  <si>
    <t xml:space="preserve">cost x (1 + mark-up) x average rate</t>
  </si>
  <si>
    <t xml:space="preserve">P-2605   App onboarding redesign   |   Halvergate Money Ltd   |   GBP   |   In progress</t>
  </si>
  <si>
    <t xml:space="preserve">P-2606   Product launch campaign (incl. video production)   |   Quillfield Software Inc.   |   USD   |   Contracted</t>
  </si>
  <si>
    <t xml:space="preserve">Production recharged to the client (USD)</t>
  </si>
  <si>
    <t xml:space="preserve">PL-01   Customer portal redesign   |   Brackenholt Insurance Ltd   |   GBP   |   Pipeline</t>
  </si>
  <si>
    <t xml:space="preserve">PL-02   Brand and website   |   Ferncliff Robotics Inc.   |   USD   |   Pipeline</t>
  </si>
  <si>
    <t xml:space="preserve">PL-03   Product launch campaign   |   Voltaro Energie GmbH   |   EUR   |   Pipeline</t>
  </si>
  <si>
    <t xml:space="preserve">PL-04   Booking website   |   Aurelwyn Hotels B.V.   |   EUR   |   Pipeline</t>
  </si>
  <si>
    <t xml:space="preserve">NW-1   New project wins not yet identified, Q1-27 starts (run-rate)   |   New clients not yet identified (FY2027 run-rate)   |   EUR   |   Pipeline</t>
  </si>
  <si>
    <t xml:space="preserve">NW-2   New project wins not yet identified, Q2-27 starts (run-rate)   |   New clients not yet identified (FY2027 run-rate)   |   EUR   |   Pipeline</t>
  </si>
  <si>
    <t xml:space="preserve">NW-3   New project wins not yet identified, Q3-27 starts (run-rate)   |   New clients not yet identified (FY2027 run-rate)   |   EUR   |   Pipeline</t>
  </si>
  <si>
    <t xml:space="preserve">NW-4   New project wins not yet identified, Q4-27 starts (run-rate)   |   New clients not yet identified (FY2027 run-rate)   |   EUR   |   Pipeline</t>
  </si>
  <si>
    <t xml:space="preserve">TOTALS (EUR where stated)</t>
  </si>
  <si>
    <t xml:space="preserve">sum of projects</t>
  </si>
  <si>
    <t xml:space="preserve">Project fee revenue (EUR at the monthly average rate)</t>
  </si>
  <si>
    <t xml:space="preserve">Secured remaining fees (EUR at the monthly average rate)</t>
  </si>
  <si>
    <t xml:space="preserve">Pipeline remaining fees, win-weighted (EUR)</t>
  </si>
  <si>
    <t xml:space="preserve">TIME AND MATERIALS AND MEDIA MANAGEMENT (invoice currency unless stated)</t>
  </si>
  <si>
    <t xml:space="preserve">Time and materials: hours x rate x (1 - write-off), invoiced on the 1st for the prior month (unbilled work at month end is a contract asset). Media: spend bought in the agency name and rebilled at cost is not revenue (agent, IFRS 15.B34 to B37): only the management fee is revenue. For VAT the agency is treated as buying and supplying the media (VAT Directive Art. 28).</t>
  </si>
  <si>
    <t xml:space="preserve">TIME AND MATERIALS</t>
  </si>
  <si>
    <t xml:space="preserve">ASH: hours</t>
  </si>
  <si>
    <t xml:space="preserve">A: timesheets; F: base hours x demand seasonality x scenario factor</t>
  </si>
  <si>
    <t xml:space="preserve">ASH: hourly rate (GBP)</t>
  </si>
  <si>
    <t xml:space="preserve">register rate; FY2027 x (1 + rate card change)</t>
  </si>
  <si>
    <t xml:space="preserve">ASH: write-off at billing</t>
  </si>
  <si>
    <t xml:space="preserve">A: 1 - revenue / (hours x rate); F: register forecast</t>
  </si>
  <si>
    <t xml:space="preserve">ASH: revenue (GBP)</t>
  </si>
  <si>
    <t xml:space="preserve">A: ledger; F: hours x rate x (1 - write-off)</t>
  </si>
  <si>
    <t xml:space="preserve">ASH: invoiced (GBP)</t>
  </si>
  <si>
    <t xml:space="preserve">A: sales ledger; F: prior month work</t>
  </si>
  <si>
    <t xml:space="preserve">ASH: standard value of hours (EUR, rate card)</t>
  </si>
  <si>
    <t xml:space="preserve">hours x rate card mix</t>
  </si>
  <si>
    <t xml:space="preserve">CAR: hours</t>
  </si>
  <si>
    <t xml:space="preserve">CAR: hourly rate (EUR)</t>
  </si>
  <si>
    <t xml:space="preserve">CAR: write-off at billing</t>
  </si>
  <si>
    <t xml:space="preserve">CAR: revenue (EUR)</t>
  </si>
  <si>
    <t xml:space="preserve">CAR: invoiced (EUR)</t>
  </si>
  <si>
    <t xml:space="preserve">CAR: standard value of hours (EUR, rate card)</t>
  </si>
  <si>
    <t xml:space="preserve">TWL: hours</t>
  </si>
  <si>
    <t xml:space="preserve">TWL: hourly rate (GBP)</t>
  </si>
  <si>
    <t xml:space="preserve">TWL: write-off at billing</t>
  </si>
  <si>
    <t xml:space="preserve">TWL: revenue (GBP)</t>
  </si>
  <si>
    <t xml:space="preserve">TWL: invoiced (GBP)</t>
  </si>
  <si>
    <t xml:space="preserve">TWL: standard value of hours (EUR, rate card)</t>
  </si>
  <si>
    <t xml:space="preserve">OTH: hours</t>
  </si>
  <si>
    <t xml:space="preserve">OTH: hourly rate (EUR)</t>
  </si>
  <si>
    <t xml:space="preserve">OTH: write-off at billing</t>
  </si>
  <si>
    <t xml:space="preserve">OTH: revenue (EUR)</t>
  </si>
  <si>
    <t xml:space="preserve">OTH: invoiced (EUR)</t>
  </si>
  <si>
    <t xml:space="preserve">OTH: standard value of hours (EUR, rate card)</t>
  </si>
  <si>
    <t xml:space="preserve">Time and materials revenue (EUR)</t>
  </si>
  <si>
    <t xml:space="preserve">Standard value of time and materials hours (EUR)</t>
  </si>
  <si>
    <t xml:space="preserve">Time and materials realisation (revenue / standard value)</t>
  </si>
  <si>
    <t xml:space="preserve">MEDIA MANAGEMENT (spend rebilled at cost is not revenue; the fee is)</t>
  </si>
  <si>
    <t xml:space="preserve">THV: media spend rebilled (GBP)</t>
  </si>
  <si>
    <t xml:space="preserve">A: platform statements; F: base x seasonality x scenario factor x retainer weight</t>
  </si>
  <si>
    <t xml:space="preserve">THV: media management fee (GBP)</t>
  </si>
  <si>
    <t xml:space="preserve">A: ledger; F: spend x fee %</t>
  </si>
  <si>
    <t xml:space="preserve">THV: media management hours</t>
  </si>
  <si>
    <t xml:space="preserve">register hours while spend runs</t>
  </si>
  <si>
    <t xml:space="preserve">HOC: media spend rebilled (USD)</t>
  </si>
  <si>
    <t xml:space="preserve">HOC: media management fee (USD)</t>
  </si>
  <si>
    <t xml:space="preserve">HOC: media management hours</t>
  </si>
  <si>
    <t xml:space="preserve">LIN: media spend rebilled (EUR)</t>
  </si>
  <si>
    <t xml:space="preserve">LIN: media management fee (EUR)</t>
  </si>
  <si>
    <t xml:space="preserve">LIN: media management hours</t>
  </si>
  <si>
    <t xml:space="preserve">TAM: media spend rebilled (EUR)</t>
  </si>
  <si>
    <t xml:space="preserve">TAM: media management fee (EUR)</t>
  </si>
  <si>
    <t xml:space="preserve">TAM: media management hours</t>
  </si>
  <si>
    <t xml:space="preserve">VDH: media spend rebilled (EUR)</t>
  </si>
  <si>
    <t xml:space="preserve">VDH: media management fee (EUR)</t>
  </si>
  <si>
    <t xml:space="preserve">VDH: media management hours</t>
  </si>
  <si>
    <t xml:space="preserve">Media spend rebilled (EUR): pass-through, not revenue</t>
  </si>
  <si>
    <t xml:space="preserve">Media management fees (EUR)</t>
  </si>
  <si>
    <t xml:space="preserve">Effective media fee (fees / spend)</t>
  </si>
  <si>
    <t xml:space="preserve">DELIVERY CAPACITY: HOURS BY ROLE, UTILISATION, FREELANCERS, STANDARD VALUE AND REALISATION</t>
  </si>
  <si>
    <t xml:space="preserve">Demand for each role = hours of each work type x the role mix on Assumptions. Own staff work up to the maximum sustainable utilisation; the rest goes to freelancers. Utilisation = own billable hours / productive hours. Realisation = fee revenue / standard value of all hours at the rate card.</t>
  </si>
  <si>
    <t xml:space="preserve">HOURS BY WORK TYPE (all clients)</t>
  </si>
  <si>
    <t xml:space="preserve">Brand and content retainers</t>
  </si>
  <si>
    <t xml:space="preserve">Performance retainers</t>
  </si>
  <si>
    <t xml:space="preserve">Product design and development retainers</t>
  </si>
  <si>
    <t xml:space="preserve">TOTAL HOURS DEMANDED</t>
  </si>
  <si>
    <t xml:space="preserve">HIRING PLAN (forecast months; each hire weighted by the probability of the work it is tied to, and switched by the scenario flag)</t>
  </si>
  <si>
    <t xml:space="preserve">Development and QA: +1 from Oct-26 (Quillfield launch campaign (contracted))</t>
  </si>
  <si>
    <t xml:space="preserve">input month x weight x hiring flag</t>
  </si>
  <si>
    <t xml:space="preserve">Performance marketing: +1 from Nov-26 (media growth on existing accounts)</t>
  </si>
  <si>
    <t xml:space="preserve">Development and QA: +1 from Jan-27 (Ferncliff retainer (pipeline))</t>
  </si>
  <si>
    <t xml:space="preserve">Creative and design: +1 from Mar-27 (Brackenholt portal (pipeline))</t>
  </si>
  <si>
    <t xml:space="preserve">Delivery hires in the month (weighted)</t>
  </si>
  <si>
    <t xml:space="preserve">Capacity cut in the month (FTE, scenario)</t>
  </si>
  <si>
    <t xml:space="preserve">ROLE: STRATEGY AND ACCOUNT MANAGEMENT</t>
  </si>
  <si>
    <t xml:space="preserve">A: payroll; F: prior month + weighted hires - share of any capacity cut</t>
  </si>
  <si>
    <t xml:space="preserve">Productive hours available</t>
  </si>
  <si>
    <t xml:space="preserve">headcount x productive hours per FTE</t>
  </si>
  <si>
    <t xml:space="preserve">Billable hours demanded</t>
  </si>
  <si>
    <t xml:space="preserve">A: own + freelancer timesheets; F: hours by work type x role mix</t>
  </si>
  <si>
    <t xml:space="preserve">Billable hours worked by own staff</t>
  </si>
  <si>
    <t xml:space="preserve">A: timesheets; F: min(demand, capacity x maximum utilisation)</t>
  </si>
  <si>
    <t xml:space="preserve">Billable hours bought from freelancers</t>
  </si>
  <si>
    <t xml:space="preserve">A: freelancer timesheets; F: demand - own</t>
  </si>
  <si>
    <t xml:space="preserve">Utilisation (own billable / productive hours)</t>
  </si>
  <si>
    <t xml:space="preserve">Standard value of hours (EUR, rate card)</t>
  </si>
  <si>
    <t xml:space="preserve">(own + freelancer hours) x rate card</t>
  </si>
  <si>
    <t xml:space="preserve">ROLE: CREATIVE AND DESIGN</t>
  </si>
  <si>
    <t xml:space="preserve">ROLE: CONTENT, COPY AND VIDEO</t>
  </si>
  <si>
    <t xml:space="preserve">ROLE: DEVELOPMENT AND QA</t>
  </si>
  <si>
    <t xml:space="preserve">ROLE: PERFORMANCE MARKETING</t>
  </si>
  <si>
    <t xml:space="preserve">ROLE: PROJECT AND DELIVERY MANAGEMENT</t>
  </si>
  <si>
    <t xml:space="preserve">DELIVERY TOTALS</t>
  </si>
  <si>
    <t xml:space="preserve">Rate card factor (FY2027 = 1 + rate card change)</t>
  </si>
  <si>
    <t xml:space="preserve">DELIVERY HEADCOUNT</t>
  </si>
  <si>
    <t xml:space="preserve">UTILISATION (own billable / productive hours)</t>
  </si>
  <si>
    <t xml:space="preserve">Standard value of all hours (EUR, rate card)</t>
  </si>
  <si>
    <t xml:space="preserve">Fee revenue (EUR): retainers, projects, time and materials, media fees</t>
  </si>
  <si>
    <t xml:space="preserve">REALISATION (fee revenue / standard value)</t>
  </si>
  <si>
    <t xml:space="preserve">Effective fee per hour worked (EUR)</t>
  </si>
  <si>
    <t xml:space="preserve">Value written off vs the rate card (EUR)</t>
  </si>
  <si>
    <t xml:space="preserve">standard value - fee revenue</t>
  </si>
  <si>
    <t xml:space="preserve">FREELANCER COST (EUR ex VAT)</t>
  </si>
  <si>
    <t xml:space="preserve">A: purchase ledger; F: freelancer hours x rate + specialists, inflated</t>
  </si>
  <si>
    <t xml:space="preserve">Own hours charged at standard cost rate (EUR)</t>
  </si>
  <si>
    <t xml:space="preserve">own hours x standard cost rate x pay inflation</t>
  </si>
  <si>
    <t xml:space="preserve">Recovery variance: own hours at standard cost less delivery payroll (+ over / - under)</t>
  </si>
  <si>
    <t xml:space="preserve">BLENDED RATES BY WORK TYPE (EUR per hour)</t>
  </si>
  <si>
    <t xml:space="preserve">Standard cost rate: brand and content retainers</t>
  </si>
  <si>
    <t xml:space="preserve">role mix x standard cost rate x pay inflation</t>
  </si>
  <si>
    <t xml:space="preserve">Standard cost rate: performance retainers</t>
  </si>
  <si>
    <t xml:space="preserve">Standard cost rate: product design and development retainers</t>
  </si>
  <si>
    <t xml:space="preserve">Standard cost rate: fixed-fee projects</t>
  </si>
  <si>
    <t xml:space="preserve">Standard cost rate: time and materials</t>
  </si>
  <si>
    <t xml:space="preserve">Standard cost rate: media management</t>
  </si>
  <si>
    <t xml:space="preserve">Rate card: brand and content retainers</t>
  </si>
  <si>
    <t xml:space="preserve">role mix x rate card x rate card factor</t>
  </si>
  <si>
    <t xml:space="preserve">Rate card: performance retainers</t>
  </si>
  <si>
    <t xml:space="preserve">Rate card: product design and development retainers</t>
  </si>
  <si>
    <t xml:space="preserve">Rate card: fixed-fee projects</t>
  </si>
  <si>
    <t xml:space="preserve">Rate card: time and materials</t>
  </si>
  <si>
    <t xml:space="preserve">Rate card: media management</t>
  </si>
  <si>
    <t xml:space="preserve">PEOPLE: PAYROLL, STAFF TABLE, BONUS PROVISION AND PAYROLL TAXES (EUR)</t>
  </si>
  <si>
    <t xml:space="preserve">Delivery payroll from the role headcount on Utilisation; leadership, new business and operations from the staff table. Employer social tax 33% and unemployment insurance 0.8%; employee unemployment insurance 1.6%, funded pension 2% and income tax 22% above the EUR 700 basic exemption are withheld. Net pay is paid at month end; the TSD taxes by the 10th of the following month.</t>
  </si>
  <si>
    <t xml:space="preserve">DELIVERY PAYROLL</t>
  </si>
  <si>
    <t xml:space="preserve">Redundancy compensation (one month average wage per leaver)</t>
  </si>
  <si>
    <t xml:space="preserve">capacity cut x average salary at the last actual month x pay inflation</t>
  </si>
  <si>
    <t xml:space="preserve">Delivery team gross pay (incl. any redundancy compensation)</t>
  </si>
  <si>
    <t xml:space="preserve">A: payroll; F: headcount x salary x pay inflation + redundancy</t>
  </si>
  <si>
    <t xml:space="preserve">Employer social tax and unemployment insurance</t>
  </si>
  <si>
    <t xml:space="preserve">gross x (33% + 0.8%)</t>
  </si>
  <si>
    <t xml:space="preserve">DELIVERY PAYROLL COST</t>
  </si>
  <si>
    <t xml:space="preserve">LEADERSHIP, NEW BUSINESS AND OPERATIONS (C = monthly gross, D = start month; planned hire only if the scenario allows)</t>
  </si>
  <si>
    <t xml:space="preserve">Founder and chief executive (executive creative director)</t>
  </si>
  <si>
    <t xml:space="preserve">gross x pay inflation x active flag</t>
  </si>
  <si>
    <t xml:space="preserve">New business director</t>
  </si>
  <si>
    <t xml:space="preserve">People and office manager</t>
  </si>
  <si>
    <t xml:space="preserve">Marketing and communications lead</t>
  </si>
  <si>
    <t xml:space="preserve">Planned hire: head of delivery</t>
  </si>
  <si>
    <t xml:space="preserve">Gross pay per staff table</t>
  </si>
  <si>
    <t xml:space="preserve">sum of roles</t>
  </si>
  <si>
    <t xml:space="preserve">Leadership, new business and operations gross pay</t>
  </si>
  <si>
    <t xml:space="preserve">A: payroll; F: staff table</t>
  </si>
  <si>
    <t xml:space="preserve">LEADERSHIP, NEW BUSINESS AND OPERATIONS PAYROLL COST</t>
  </si>
  <si>
    <t xml:space="preserve">Leadership, new business and operations headcount</t>
  </si>
  <si>
    <t xml:space="preserve">A: payroll; F: active roles in the staff table</t>
  </si>
  <si>
    <t xml:space="preserve">Leadership hires in the month</t>
  </si>
  <si>
    <t xml:space="preserve">HEADCOUNT</t>
  </si>
  <si>
    <t xml:space="preserve">Delivery headcount</t>
  </si>
  <si>
    <t xml:space="preserve">TOTAL HEADCOUNT</t>
  </si>
  <si>
    <t xml:space="preserve">BONUS PROVISION (accrued with employer taxes; paid in March for the prior year)</t>
  </si>
  <si>
    <t xml:space="preserve">Accrual rate (share of gross pay)</t>
  </si>
  <si>
    <t xml:space="preserve">A: actual rate; F: scenario</t>
  </si>
  <si>
    <t xml:space="preserve">Bonus accrued (P&amp;L)</t>
  </si>
  <si>
    <t xml:space="preserve">gross pay x rate x (1 + employer taxes)</t>
  </si>
  <si>
    <t xml:space="preserve">Prior-year bonus paid (provision utilised)</t>
  </si>
  <si>
    <t xml:space="preserve">A: payroll; F: March, provision at the prior December</t>
  </si>
  <si>
    <t xml:space="preserve">BONUS PROVISION (to balance sheet)</t>
  </si>
  <si>
    <t xml:space="preserve">opening + accrued - utilised</t>
  </si>
  <si>
    <t xml:space="preserve">PAYROLL TAXES (TSD), NET PAY</t>
  </si>
  <si>
    <t xml:space="preserve">Gross pay, all staff (excl. bonus)</t>
  </si>
  <si>
    <t xml:space="preserve">Withheld: unemployment insurance, pension and income tax</t>
  </si>
  <si>
    <t xml:space="preserve">gross x 3.6% + income tax on (gross - 3.6% - EUR 700 x heads)</t>
  </si>
  <si>
    <t xml:space="preserve">Bonus paid: gross</t>
  </si>
  <si>
    <t xml:space="preserve">utilised / (1 + employer taxes)</t>
  </si>
  <si>
    <t xml:space="preserve">Bonus paid: withheld taxes</t>
  </si>
  <si>
    <t xml:space="preserve">gross x (3.6% + 22% x 96.4%)</t>
  </si>
  <si>
    <t xml:space="preserve">Bonus paid: employer taxes</t>
  </si>
  <si>
    <t xml:space="preserve">utilised - gross</t>
  </si>
  <si>
    <t xml:space="preserve">TSD taxes: opening</t>
  </si>
  <si>
    <t xml:space="preserve">TSD taxes: accrued</t>
  </si>
  <si>
    <t xml:space="preserve">withheld + employer taxes, salaries and bonus</t>
  </si>
  <si>
    <t xml:space="preserve">TSD taxes: paid (prior month, by the 10th)</t>
  </si>
  <si>
    <t xml:space="preserve">TSD TAXES PAYABLE (to balance sheet)</t>
  </si>
  <si>
    <t xml:space="preserve">Net salaries paid (month end)</t>
  </si>
  <si>
    <t xml:space="preserve">gross - withheld</t>
  </si>
  <si>
    <t xml:space="preserve">Net bonus paid (March)</t>
  </si>
  <si>
    <t xml:space="preserve">bonus gross - withheld</t>
  </si>
  <si>
    <t xml:space="preserve">PEOPLE RATIOS</t>
  </si>
  <si>
    <t xml:space="preserve">Payroll cost (incl. bonus) and freelancers / net revenue</t>
  </si>
  <si>
    <t xml:space="preserve">net revenue x 12 / headcount</t>
  </si>
  <si>
    <t xml:space="preserve">NEW BUSINESS, RENEWALS AND REVENUE VISIBILITY (EUR)</t>
  </si>
  <si>
    <t xml:space="preserve">Fee revenue split by how secure it is: signed retainers in their current term, renewals (probability-weighted), signed projects, pipeline (win-weighted) and the recurring time and materials and media fee base. Tables below list the pipeline, the renewal calendar and the new business record.</t>
  </si>
  <si>
    <t xml:space="preserve">FEE REVENUE BY SECURITY (EUR)</t>
  </si>
  <si>
    <t xml:space="preserve">Retainers in their current term</t>
  </si>
  <si>
    <t xml:space="preserve">Retainers after renewal (renewal-weighted)</t>
  </si>
  <si>
    <t xml:space="preserve">Pipeline retainers (win-weighted)</t>
  </si>
  <si>
    <t xml:space="preserve">Signed projects</t>
  </si>
  <si>
    <t xml:space="preserve">Pipeline projects (win-weighted)</t>
  </si>
  <si>
    <t xml:space="preserve">Time and materials and media fees (run-rate base)</t>
  </si>
  <si>
    <t xml:space="preserve">FEE REVENUE</t>
  </si>
  <si>
    <t xml:space="preserve">Share of fee revenue from pipeline (not yet won)</t>
  </si>
  <si>
    <t xml:space="preserve">BACKLOG</t>
  </si>
  <si>
    <t xml:space="preserve">Pipeline project fees still to earn (win-weighted)</t>
  </si>
  <si>
    <t xml:space="preserve">Retainer fees, monthly run-rate (EUR)</t>
  </si>
  <si>
    <t xml:space="preserve">PIPELINE OPPORTUNITIES (selected scenario; retainers valued at twelve months of fees)</t>
  </si>
  <si>
    <t xml:space="preserve">Opportunity</t>
  </si>
  <si>
    <t xml:space="preserve">Description</t>
  </si>
  <si>
    <t xml:space="preserve">Value (EUR at the last actual rate)</t>
  </si>
  <si>
    <t xml:space="preserve">Win % Base</t>
  </si>
  <si>
    <t xml:space="preserve">Win % Downside</t>
  </si>
  <si>
    <t xml:space="preserve">Win % Upside</t>
  </si>
  <si>
    <t xml:space="preserve">Win % selected</t>
  </si>
  <si>
    <t xml:space="preserve">Weighted value</t>
  </si>
  <si>
    <t xml:space="preserve">Start</t>
  </si>
  <si>
    <t xml:space="preserve">RETAINER RENEWAL CALENDAR (contracts signed at the last actual month)</t>
  </si>
  <si>
    <t xml:space="preserve">Contract</t>
  </si>
  <si>
    <t xml:space="preserve">Term</t>
  </si>
  <si>
    <t xml:space="preserve">Annual fees (EUR at the last actual rate)</t>
  </si>
  <si>
    <t xml:space="preserve">Term ends</t>
  </si>
  <si>
    <t xml:space="preserve">Renewal % selected</t>
  </si>
  <si>
    <t xml:space="preserve">Expected retained value</t>
  </si>
  <si>
    <t xml:space="preserve">Value at risk</t>
  </si>
  <si>
    <t xml:space="preserve">Overservicing YTD</t>
  </si>
  <si>
    <t xml:space="preserve">NEW BUSINESS RECORD, JAN-26 TO AUG-26 (CRM, fictional)</t>
  </si>
  <si>
    <t xml:space="preserve">Proposals submitted</t>
  </si>
  <si>
    <t xml:space="preserve">Value proposed (EUR)</t>
  </si>
  <si>
    <t xml:space="preserve">Won (count)</t>
  </si>
  <si>
    <t xml:space="preserve">Won (EUR)</t>
  </si>
  <si>
    <t xml:space="preserve">Lost (count)</t>
  </si>
  <si>
    <t xml:space="preserve">Lost (EUR)</t>
  </si>
  <si>
    <t xml:space="preserve">Still open (count)</t>
  </si>
  <si>
    <t xml:space="preserve">Win rate on decided proposals (count)</t>
  </si>
  <si>
    <t xml:space="preserve">Win rate on decided proposals (value)</t>
  </si>
  <si>
    <t xml:space="preserve">Average tenure of clients with active retainers (years)</t>
  </si>
  <si>
    <t xml:space="preserve">FOREIGN EXCHANGE: RATES, EUR TRANSLATION AND REVALUATION OF CLIENT BALANCES</t>
  </si>
  <si>
    <t xml:space="preserve">Rates are units of currency per EUR (ECB convention). Revenue, invoices and receipts translate at the monthly average rate; receivables and contract positions at the month-end rate. The revaluation is the FX gain or loss on client balances (IAS 21.23 and 21.28). Forecast rate = last actual month-end rate x (1 + scenario shift).</t>
  </si>
  <si>
    <t xml:space="preserve">RATES (units per EUR)</t>
  </si>
  <si>
    <t xml:space="preserve">GBP per EUR, monthly average</t>
  </si>
  <si>
    <t xml:space="preserve">A: ECB; F: last actual month-end x (1 + shift)</t>
  </si>
  <si>
    <t xml:space="preserve">GBP per EUR, month end</t>
  </si>
  <si>
    <t xml:space="preserve">USD per EUR, monthly average</t>
  </si>
  <si>
    <t xml:space="preserve">USD per EUR, month end</t>
  </si>
  <si>
    <t xml:space="preserve">EUR CLIENTS (EUR)</t>
  </si>
  <si>
    <t xml:space="preserve">invoice currency / average rate</t>
  </si>
  <si>
    <t xml:space="preserve">Production recharged</t>
  </si>
  <si>
    <t xml:space="preserve">Media spend rebilled</t>
  </si>
  <si>
    <t xml:space="preserve">Written off</t>
  </si>
  <si>
    <t xml:space="preserve">Receivables at the month-end rate</t>
  </si>
  <si>
    <t xml:space="preserve">Contract assets at the month-end rate</t>
  </si>
  <si>
    <t xml:space="preserve">Contract liabilities at the month-end rate</t>
  </si>
  <si>
    <t xml:space="preserve">Net client position (receivables + contract assets - contract liabilities)</t>
  </si>
  <si>
    <t xml:space="preserve">FX GAIN / (LOSS) ON REVALUATION</t>
  </si>
  <si>
    <t xml:space="preserve">closing - opening - flows at average rates</t>
  </si>
  <si>
    <t xml:space="preserve">GBP CLIENTS (EUR)</t>
  </si>
  <si>
    <t xml:space="preserve">USD CLIENTS (EUR)</t>
  </si>
  <si>
    <t xml:space="preserve">TOTALS, ALL CURRENCIES (EUR)</t>
  </si>
  <si>
    <t xml:space="preserve">EUR + GBP + USD</t>
  </si>
  <si>
    <t xml:space="preserve">Contract assets</t>
  </si>
  <si>
    <t xml:space="preserve">Contract liabilities</t>
  </si>
  <si>
    <t xml:space="preserve">FX GAIN / (LOSS)</t>
  </si>
  <si>
    <t xml:space="preserve">Gross billings ex VAT (fees, media and recharges)</t>
  </si>
  <si>
    <t xml:space="preserve">revenue + media spend rebilled</t>
  </si>
  <si>
    <t xml:space="preserve">EXPOSURE (memo)</t>
  </si>
  <si>
    <t xml:space="preserve">Share of revenue invoiced in GBP</t>
  </si>
  <si>
    <t xml:space="preserve">Share of revenue invoiced in USD</t>
  </si>
  <si>
    <t xml:space="preserve">EUR impact of a 5% weaker pound and dollar on the month-end GBP and USD positions</t>
  </si>
  <si>
    <t xml:space="preserve">position x (1/1.05 - 1)</t>
  </si>
  <si>
    <t xml:space="preserve">TRADE RECEIVABLES, SPECIFIC PROVISION AND COLLECTIONS (EUR)</t>
  </si>
  <si>
    <t xml:space="preserve">Receivables translate at the month-end rate. The specific provision covers the disputed Norbeck change request CR-03; on settlement the unrecovered part is written off against it and any difference goes to the P&amp;L. Debtor days = receivables / average monthly invoicing of the last three months x 30.4.</t>
  </si>
  <si>
    <t xml:space="preserve">RECEIVABLES BY INVOICE CURRENCY (EUR)</t>
  </si>
  <si>
    <t xml:space="preserve">GBP clients</t>
  </si>
  <si>
    <t xml:space="preserve">USD clients</t>
  </si>
  <si>
    <t xml:space="preserve">TRADE RECEIVABLES, GROSS</t>
  </si>
  <si>
    <t xml:space="preserve">SPECIFIC PROVISION (IFRS 9 credit-impaired balance)</t>
  </si>
  <si>
    <t xml:space="preserve">Written off on settlement (EUR)</t>
  </si>
  <si>
    <t xml:space="preserve">Charge / (release) to the P&amp;L</t>
  </si>
  <si>
    <t xml:space="preserve">A: ledger; F: write-off less provision held</t>
  </si>
  <si>
    <t xml:space="preserve">Provision held</t>
  </si>
  <si>
    <t xml:space="preserve">opening + charge - written off</t>
  </si>
  <si>
    <t xml:space="preserve">TRADE RECEIVABLES, NET (to balance sheet)</t>
  </si>
  <si>
    <t xml:space="preserve">INVOICED, COLLECTED AND DAYS</t>
  </si>
  <si>
    <t xml:space="preserve">Invoiced incl. VAT (EUR at average rates)</t>
  </si>
  <si>
    <t xml:space="preserve">Collected (EUR)</t>
  </si>
  <si>
    <t xml:space="preserve">Debtor days (receivables / average monthly invoicing of the last three months x 30.4)</t>
  </si>
  <si>
    <t xml:space="preserve">Disputed balance (EUR, memo)</t>
  </si>
  <si>
    <t xml:space="preserve">AGED RECEIVABLES AT THE LAST ACTUAL MONTH (invoice currency and EUR)</t>
  </si>
  <si>
    <t xml:space="preserve">Open invoices by client in the invoice currency, translated at the month-end ECB rate and aged by due date. Group totals must agree with the ledger by currency. Media rebilled at cost sits in the balances of the media clients.</t>
  </si>
  <si>
    <t xml:space="preserve">As at</t>
  </si>
  <si>
    <t xml:space="preserve">Closing rates (units per EUR)</t>
  </si>
  <si>
    <t xml:space="preserve">Client (fictional)</t>
  </si>
  <si>
    <t xml:space="preserve">Invoice / item</t>
  </si>
  <si>
    <t xml:space="preserve">Group</t>
  </si>
  <si>
    <t xml:space="preserve">Amount (currency)</t>
  </si>
  <si>
    <t xml:space="preserve">Closing rate</t>
  </si>
  <si>
    <t xml:space="preserve">Amount (EUR)</t>
  </si>
  <si>
    <t xml:space="preserve">Due date</t>
  </si>
  <si>
    <t xml:space="preserve">Days past due</t>
  </si>
  <si>
    <t xml:space="preserve">Not yet due</t>
  </si>
  <si>
    <t xml:space="preserve">1 to 30</t>
  </si>
  <si>
    <t xml:space="preserve">31 to 60</t>
  </si>
  <si>
    <t xml:space="preserve">61 to 90</t>
  </si>
  <si>
    <t xml:space="preserve">Over 90</t>
  </si>
  <si>
    <t xml:space="preserve">Action / note</t>
  </si>
  <si>
    <t xml:space="preserve">Retainer and onboarding project, invoices dated 31-Aug</t>
  </si>
  <si>
    <t xml:space="preserve">35-day terms.</t>
  </si>
  <si>
    <t xml:space="preserve">July invoices</t>
  </si>
  <si>
    <t xml:space="preserve">Due 4-Sep; paid on 9-Sep per the bank.</t>
  </si>
  <si>
    <t xml:space="preserve">August media and media management fee</t>
  </si>
  <si>
    <t xml:space="preserve">Media billed at cost plus 10% management fee.</t>
  </si>
  <si>
    <t xml:space="preserve">July media invoice, balance</t>
  </si>
  <si>
    <t xml:space="preserve">Short-paid: client queried two campaign line items; resolved, balance due.</t>
  </si>
  <si>
    <t xml:space="preserve">August retainer</t>
  </si>
  <si>
    <t xml:space="preserve">Standard 30-day terms.</t>
  </si>
  <si>
    <t xml:space="preserve">August time and materials</t>
  </si>
  <si>
    <t xml:space="preserve">45-day terms.</t>
  </si>
  <si>
    <t xml:space="preserve">July time and materials</t>
  </si>
  <si>
    <t xml:space="preserve">August retainer, media and media management fee</t>
  </si>
  <si>
    <t xml:space="preserve">Reverse charge (EU B2B).</t>
  </si>
  <si>
    <t xml:space="preserve">Deposit balance and August production recharges</t>
  </si>
  <si>
    <t xml:space="preserve">Photography and print proofs recharged at cost plus 15%.</t>
  </si>
  <si>
    <t xml:space="preserve">August retainer and campaign deposit</t>
  </si>
  <si>
    <t xml:space="preserve">45-day terms; campaign deposit invoiced on signature.</t>
  </si>
  <si>
    <t xml:space="preserve">July retainer</t>
  </si>
  <si>
    <t xml:space="preserve">August media and fees</t>
  </si>
  <si>
    <t xml:space="preserve">60-day terms on media: the agency funds the client media for two months.</t>
  </si>
  <si>
    <t xml:space="preserve">July media and fees</t>
  </si>
  <si>
    <t xml:space="preserve">60-day terms.</t>
  </si>
  <si>
    <t xml:space="preserve">June media and fees</t>
  </si>
  <si>
    <t xml:space="preserve">Overdue: client finance switched payment runs to monthly; chased weekly.</t>
  </si>
  <si>
    <t xml:space="preserve">Change request CR-03 (additional page templates), invoiced 29-May</t>
  </si>
  <si>
    <t xml:space="preserve">Disputed: client finance says CR-03 was inside the original scope. 50% provided in June. Settlement meeting set for October.</t>
  </si>
  <si>
    <t xml:space="preserve">Interim milestone</t>
  </si>
  <si>
    <t xml:space="preserve">Final month is September; notice received in June.</t>
  </si>
  <si>
    <t xml:space="preserve">August retainer, media and fees incl. 24% VAT</t>
  </si>
  <si>
    <t xml:space="preserve">Estonian client: 24% VAT.</t>
  </si>
  <si>
    <t xml:space="preserve">August invoices, 9 accounts</t>
  </si>
  <si>
    <t xml:space="preserve">Estonian clients: 24% VAT.</t>
  </si>
  <si>
    <t xml:space="preserve">July invoices, 3 accounts</t>
  </si>
  <si>
    <t xml:space="preserve">Chased; two promised in September.</t>
  </si>
  <si>
    <t xml:space="preserve">TOTAL (EUR)</t>
  </si>
  <si>
    <t xml:space="preserve">Share of total</t>
  </si>
  <si>
    <t xml:space="preserve">Tie-out to the ledger</t>
  </si>
  <si>
    <t xml:space="preserve">Aging (currency)</t>
  </si>
  <si>
    <t xml:space="preserve">Aging (EUR)</t>
  </si>
  <si>
    <t xml:space="preserve">Ledger (EUR)</t>
  </si>
  <si>
    <t xml:space="preserve">Difference</t>
  </si>
  <si>
    <t xml:space="preserve">GBP clients: aging vs ledger</t>
  </si>
  <si>
    <t xml:space="preserve">USD clients: aging vs ledger</t>
  </si>
  <si>
    <t xml:space="preserve">EUR clients: aging vs ledger</t>
  </si>
  <si>
    <t xml:space="preserve">AGED PAYABLES AT THE LAST ACTUAL MONTH (EUR)</t>
  </si>
  <si>
    <t xml:space="preserve">Open supplier balances aged by due date. Group totals must agree with the Payables schedule.</t>
  </si>
  <si>
    <t xml:space="preserve">Counterparty (fictional)</t>
  </si>
  <si>
    <t xml:space="preserve">Item / document</t>
  </si>
  <si>
    <t xml:space="preserve">Freelance motion designer (sole trader, Tallinn)</t>
  </si>
  <si>
    <t xml:space="preserve">August invoice</t>
  </si>
  <si>
    <t xml:space="preserve">Freelancer payment run on the 15th and at month end.</t>
  </si>
  <si>
    <t xml:space="preserve">Kelp &amp; Ink OÜ (illustration)</t>
  </si>
  <si>
    <t xml:space="preserve">Northgrid Dev Collective (Poland)</t>
  </si>
  <si>
    <t xml:space="preserve">August development hours, reverse charge</t>
  </si>
  <si>
    <t xml:space="preserve">Freelance copywriter (sole trader, Tartu)</t>
  </si>
  <si>
    <t xml:space="preserve">Other freelancers (9 invoices)</t>
  </si>
  <si>
    <t xml:space="preserve">August invoices</t>
  </si>
  <si>
    <t xml:space="preserve">Social media advertising platform (Ireland)</t>
  </si>
  <si>
    <t xml:space="preserve">August spend invoice, reverse charge</t>
  </si>
  <si>
    <t xml:space="preserve">Monthly invoice, 30 days. Client media funded before clients pay.</t>
  </si>
  <si>
    <t xml:space="preserve">Search advertising platform (Ireland)</t>
  </si>
  <si>
    <t xml:space="preserve">Helkvalgus Stuudio OÜ (photography)</t>
  </si>
  <si>
    <t xml:space="preserve">Packaging photography, August</t>
  </si>
  <si>
    <t xml:space="preserve">Recharged to Marlowe Street at cost plus 15%.</t>
  </si>
  <si>
    <t xml:space="preserve">Kaldvere Trükk OÜ (print proofs)</t>
  </si>
  <si>
    <t xml:space="preserve">Print proofs, August</t>
  </si>
  <si>
    <t xml:space="preserve">Veskimere Kinnisvara OÜ (landlord)</t>
  </si>
  <si>
    <t xml:space="preserve">September rent, invoiced in advance</t>
  </si>
  <si>
    <t xml:space="preserve">Software subscriptions (14 vendors)</t>
  </si>
  <si>
    <t xml:space="preserve">August renewals</t>
  </si>
  <si>
    <t xml:space="preserve">Travel agency and airlines</t>
  </si>
  <si>
    <t xml:space="preserve">London and New York client visits</t>
  </si>
  <si>
    <t xml:space="preserve">Sundry overhead suppliers (12 invoices)</t>
  </si>
  <si>
    <t xml:space="preserve">Office, IT and professional fees</t>
  </si>
  <si>
    <t xml:space="preserve">Freelancers: aging vs schedule</t>
  </si>
  <si>
    <t xml:space="preserve">Ledger balance</t>
  </si>
  <si>
    <t xml:space="preserve">Media platforms: aging vs schedule</t>
  </si>
  <si>
    <t xml:space="preserve">Production suppliers: aging vs schedule</t>
  </si>
  <si>
    <t xml:space="preserve">Overheads: aging vs schedule</t>
  </si>
  <si>
    <t xml:space="preserve">TRADE PAYABLES BY SUPPLIER GROUP (EUR)</t>
  </si>
  <si>
    <t xml:space="preserve">Freelancers (Estonian VAT on the registered share), media platforms (Ireland, reverse charge: no VAT on the invoice), production suppliers (24% VAT) and overheads. Actual payments per bank; forecast payments sized to the days payable.</t>
  </si>
  <si>
    <t xml:space="preserve">FREELANCERS</t>
  </si>
  <si>
    <t xml:space="preserve">Invoices received (incl. VAT)</t>
  </si>
  <si>
    <t xml:space="preserve">Opening balance</t>
  </si>
  <si>
    <t xml:space="preserve">Paid</t>
  </si>
  <si>
    <t xml:space="preserve">A: bank; F: opening + invoices - closing at days payable</t>
  </si>
  <si>
    <t xml:space="preserve">CLOSING BALANCE</t>
  </si>
  <si>
    <t xml:space="preserve">MEDIA PLATFORMS (reverse charge)</t>
  </si>
  <si>
    <t xml:space="preserve">PRODUCTION SUPPLIERS (incl. 24% VAT)</t>
  </si>
  <si>
    <t xml:space="preserve">OVERHEAD SUPPLIERS (incl. VAT on the recoverable share)</t>
  </si>
  <si>
    <t xml:space="preserve">TOTALS</t>
  </si>
  <si>
    <t xml:space="preserve">TRADE PAYABLES (to balance sheet)</t>
  </si>
  <si>
    <t xml:space="preserve">VAT (MONTHLY KMD RETURN, DUE BY THE 20TH)</t>
  </si>
  <si>
    <t xml:space="preserve">Output VAT at 24% on Estonian clients only. Services to EU and non-EU business clients: 0% in Estonia (place of supply where the client is established). Media platforms, foreign freelancers and foreign software are reverse charged (self-assessed output and input VAT net to zero). A net payable is paid by the 20th; a net refund is credited to the prepayment account and offset against the TSD taxes the following month (EMTA).</t>
  </si>
  <si>
    <t xml:space="preserve">OUTPUT VAT</t>
  </si>
  <si>
    <t xml:space="preserve">Estonian clients (24%)</t>
  </si>
  <si>
    <t xml:space="preserve">Reverse charge on services received from abroad</t>
  </si>
  <si>
    <t xml:space="preserve">(media + foreign freelancers + foreign software) x 24%</t>
  </si>
  <si>
    <t xml:space="preserve">Total output VAT</t>
  </si>
  <si>
    <t xml:space="preserve">INPUT VAT (recoverable)</t>
  </si>
  <si>
    <t xml:space="preserve">Reverse charge (same amount as output)</t>
  </si>
  <si>
    <t xml:space="preserve">Estonian freelancers</t>
  </si>
  <si>
    <t xml:space="preserve">Capex</t>
  </si>
  <si>
    <t xml:space="preserve">Total input VAT</t>
  </si>
  <si>
    <t xml:space="preserve">VAT PAYABLE / (RECOVERABLE)</t>
  </si>
  <si>
    <t xml:space="preserve">Net VAT for the month (output - input)</t>
  </si>
  <si>
    <t xml:space="preserve">Opening VAT payable / (recoverable)</t>
  </si>
  <si>
    <t xml:space="preserve">Paid: prior month net payable (20th)</t>
  </si>
  <si>
    <t xml:space="preserve">Credited: net refund of two months earlier, offset against TSD (10th)</t>
  </si>
  <si>
    <t xml:space="preserve">CLOSING VAT PAYABLE / (RECOVERABLE)</t>
  </si>
  <si>
    <t xml:space="preserve">OVERHEADS (EUR, ex VAT)</t>
  </si>
  <si>
    <t xml:space="preserve">Actual months from the ledger; forecast from the monthly base in column C with overhead inflation from FY2027 and the discretionary factor on travel, new business and training. Recruitment = base + hires in the month x agency fee. Column D holds the share of each line bearing recoverable Estonian VAT.</t>
  </si>
  <si>
    <t xml:space="preserve">FORECAST MONTHLY BASE (C = EUR per month at FY2026 prices; D = share bearing Estonian input VAT)</t>
  </si>
  <si>
    <t xml:space="preserve">monthly base; VAT share</t>
  </si>
  <si>
    <t xml:space="preserve">Client travel (UK, US, EU) (discretionary)</t>
  </si>
  <si>
    <t xml:space="preserve">New business, awards and events (discretionary)</t>
  </si>
  <si>
    <t xml:space="preserve">Training and conferences (discretionary)</t>
  </si>
  <si>
    <t xml:space="preserve">OVERHEAD LINES</t>
  </si>
  <si>
    <t xml:space="preserve">A: ledger; F: base x inflation</t>
  </si>
  <si>
    <t xml:space="preserve">A: ledger; F: base x inflation x discretionary factor</t>
  </si>
  <si>
    <t xml:space="preserve">TOTAL OVERHEADS</t>
  </si>
  <si>
    <t xml:space="preserve">Overheads bearing Estonian input VAT</t>
  </si>
  <si>
    <t xml:space="preserve">line x VAT share</t>
  </si>
  <si>
    <t xml:space="preserve">Software bought from foreign vendors (reverse charge base)</t>
  </si>
  <si>
    <t xml:space="preserve">software x reverse charge share</t>
  </si>
  <si>
    <t xml:space="preserve">FIXED ASSETS AND DEPRECIATION</t>
  </si>
  <si>
    <t xml:space="preserve">Two classes, straight line over the lives on Assumptions. Actual capex from the asset register; forecast = IT replacement cycle + equipment for each new hire + the planned fit-out extension.</t>
  </si>
  <si>
    <t xml:space="preserve">IT EQUIPMENT</t>
  </si>
  <si>
    <t xml:space="preserve">Cost: opening</t>
  </si>
  <si>
    <t xml:space="preserve">Additions</t>
  </si>
  <si>
    <t xml:space="preserve">A: asset register; F: capex plan</t>
  </si>
  <si>
    <t xml:space="preserve">Cost: closing</t>
  </si>
  <si>
    <t xml:space="preserve">Accumulated depreciation: opening</t>
  </si>
  <si>
    <t xml:space="preserve">Depreciation charge</t>
  </si>
  <si>
    <t xml:space="preserve">min(NBV, cost / life)</t>
  </si>
  <si>
    <t xml:space="preserve">Accumulated depreciation: closing</t>
  </si>
  <si>
    <t xml:space="preserve">Net book value</t>
  </si>
  <si>
    <t xml:space="preserve">OFFICE FIT-OUT AND FURNITURE</t>
  </si>
  <si>
    <t xml:space="preserve">NET BOOK VALUE (to balance sheet)</t>
  </si>
  <si>
    <t xml:space="preserve">BANK LOAN, DIVIDENDS, INCOME TAX ON DISTRIBUTIONS AND THE OVERDRAFT FACILITY</t>
  </si>
  <si>
    <t xml:space="preserve">Estonian companies pay no income tax on retained profit; 22/78 of each net dividend is due by the 10th of the following month and is recognised in the P&amp;L when the dividend is declared (IAS 12.52B). The FY2026 dividend is sized as a share of FY2026 net profit and paid in the month on Assumptions.</t>
  </si>
  <si>
    <t xml:space="preserve">BANK LOAN</t>
  </si>
  <si>
    <t xml:space="preserve">Principal repaid</t>
  </si>
  <si>
    <t xml:space="preserve">fixed monthly principal, capped at the balance</t>
  </si>
  <si>
    <t xml:space="preserve">Interest</t>
  </si>
  <si>
    <t xml:space="preserve">opening x rate / 12</t>
  </si>
  <si>
    <t xml:space="preserve">Current portion (next 12 months)</t>
  </si>
  <si>
    <t xml:space="preserve">Non-current portion</t>
  </si>
  <si>
    <t xml:space="preserve">DIVIDENDS AND INCOME TAX ON DISTRIBUTIONS</t>
  </si>
  <si>
    <t xml:space="preserve">Dividends paid (net)</t>
  </si>
  <si>
    <t xml:space="preserve">A: bank; F: payout x FY2026 net profit in the dividend month (none further in FY2026)</t>
  </si>
  <si>
    <t xml:space="preserve">Income tax on distributions (P&amp;L)</t>
  </si>
  <si>
    <t xml:space="preserve">A: TSD; F: dividend x 22/78</t>
  </si>
  <si>
    <t xml:space="preserve">Income tax on distributions payable: opening</t>
  </si>
  <si>
    <t xml:space="preserve">Paid (by the 10th of the following month)</t>
  </si>
  <si>
    <t xml:space="preserve">INCOME TAX ON DISTRIBUTIONS PAYABLE</t>
  </si>
  <si>
    <t xml:space="preserve">FACILITY (memo)</t>
  </si>
  <si>
    <t xml:space="preserve">Overdraft facility, undrawn</t>
  </si>
  <si>
    <t xml:space="preserve">CLIENT REGISTER AND RETAINER CONTRACTS</t>
  </si>
  <si>
    <t xml:space="preserve">One row per client (fictional) and one row per retainer contract. Blue = input (terms, rates, FY2025 closing positions). Black = derived. Prospects and pipeline contracts are weighted by the win probability of the selected scenario.</t>
  </si>
  <si>
    <t xml:space="preserve">Code</t>
  </si>
  <si>
    <t xml:space="preserve">Country</t>
  </si>
  <si>
    <t xml:space="preserve">Invoice currency</t>
  </si>
  <si>
    <t xml:space="preserve">VAT class (EE = Estonian VAT, EU = EU reverse charge, XX = outside the EU)</t>
  </si>
  <si>
    <t xml:space="preserve">VAT rate on invoices</t>
  </si>
  <si>
    <t xml:space="preserve">Client since</t>
  </si>
  <si>
    <t xml:space="preserve">Sector</t>
  </si>
  <si>
    <t xml:space="preserve">Days to collect (from month-end invoicing)</t>
  </si>
  <si>
    <t xml:space="preserve">Days to collect incl. scenario slip</t>
  </si>
  <si>
    <t xml:space="preserve">T&amp;M base hours per month</t>
  </si>
  <si>
    <t xml:space="preserve">T&amp;M rate FY2026 (invoice currency per hour)</t>
  </si>
  <si>
    <t xml:space="preserve">T&amp;M write-off, base</t>
  </si>
  <si>
    <t xml:space="preserve">T&amp;M from (month)</t>
  </si>
  <si>
    <t xml:space="preserve">T&amp;M write-off, YTD actual</t>
  </si>
  <si>
    <t xml:space="preserve">T&amp;M write-off, forecast</t>
  </si>
  <si>
    <t xml:space="preserve">Media spend base per month (invoice currency)</t>
  </si>
  <si>
    <t xml:space="preserve">Media management fee %</t>
  </si>
  <si>
    <t xml:space="preserve">Media management hours per month</t>
  </si>
  <si>
    <t xml:space="preserve">Opening receivable 31-Dec-25 (invoice currency, incl. VAT)</t>
  </si>
  <si>
    <t xml:space="preserve">Opening contract position 31-Dec-25 (+ unbilled / - deferred)</t>
  </si>
  <si>
    <t xml:space="preserve">Closing rate 31-Dec-25</t>
  </si>
  <si>
    <t xml:space="preserve">Opening receivable (EUR)</t>
  </si>
  <si>
    <t xml:space="preserve">Opening contract position (EUR)</t>
  </si>
  <si>
    <t xml:space="preserve">HAL</t>
  </si>
  <si>
    <t xml:space="preserve">United Kingdom</t>
  </si>
  <si>
    <t xml:space="preserve">XX</t>
  </si>
  <si>
    <t xml:space="preserve">Consumer fintech app</t>
  </si>
  <si>
    <t xml:space="preserve">THV</t>
  </si>
  <si>
    <t xml:space="preserve">Homeware brand, direct to consumer</t>
  </si>
  <si>
    <t xml:space="preserve">PEL</t>
  </si>
  <si>
    <t xml:space="preserve">Digital health</t>
  </si>
  <si>
    <t xml:space="preserve">ASH</t>
  </si>
  <si>
    <t xml:space="preserve">Mobility software</t>
  </si>
  <si>
    <t xml:space="preserve">TWL</t>
  </si>
  <si>
    <t xml:space="preserve">Education technology</t>
  </si>
  <si>
    <t xml:space="preserve">RVM</t>
  </si>
  <si>
    <t xml:space="preserve">Travel booking app</t>
  </si>
  <si>
    <t xml:space="preserve">MAR</t>
  </si>
  <si>
    <t xml:space="preserve">Specialty coffee</t>
  </si>
  <si>
    <t xml:space="preserve">QFS</t>
  </si>
  <si>
    <t xml:space="preserve">United States</t>
  </si>
  <si>
    <t xml:space="preserve">B2B software</t>
  </si>
  <si>
    <t xml:space="preserve">HOC</t>
  </si>
  <si>
    <t xml:space="preserve">Outdoor equipment brand</t>
  </si>
  <si>
    <t xml:space="preserve">NOR</t>
  </si>
  <si>
    <t xml:space="preserve">Data analytics software</t>
  </si>
  <si>
    <t xml:space="preserve">VOL</t>
  </si>
  <si>
    <t xml:space="preserve">Germany</t>
  </si>
  <si>
    <t xml:space="preserve">EU</t>
  </si>
  <si>
    <t xml:space="preserve">Energy technology</t>
  </si>
  <si>
    <t xml:space="preserve">LIN</t>
  </si>
  <si>
    <t xml:space="preserve">Netherlands</t>
  </si>
  <si>
    <t xml:space="preserve">Fashion retail</t>
  </si>
  <si>
    <t xml:space="preserve">VDH</t>
  </si>
  <si>
    <t xml:space="preserve">Electric bikes, direct to consumer</t>
  </si>
  <si>
    <t xml:space="preserve">VLM</t>
  </si>
  <si>
    <t xml:space="preserve">Electric mobility</t>
  </si>
  <si>
    <t xml:space="preserve">SRV</t>
  </si>
  <si>
    <t xml:space="preserve">Finland</t>
  </si>
  <si>
    <t xml:space="preserve">Outdoor clothing</t>
  </si>
  <si>
    <t xml:space="preserve">CAR</t>
  </si>
  <si>
    <t xml:space="preserve">Ireland</t>
  </si>
  <si>
    <t xml:space="preserve">Food brand</t>
  </si>
  <si>
    <t xml:space="preserve">TAM</t>
  </si>
  <si>
    <t xml:space="preserve">Estonia</t>
  </si>
  <si>
    <t xml:space="preserve">EE</t>
  </si>
  <si>
    <t xml:space="preserve">Furniture retail</t>
  </si>
  <si>
    <t xml:space="preserve">OTH</t>
  </si>
  <si>
    <t xml:space="preserve">Various</t>
  </si>
  <si>
    <t xml:space="preserve">FER</t>
  </si>
  <si>
    <t xml:space="preserve">Warehouse robotics (prospect)</t>
  </si>
  <si>
    <t xml:space="preserve">BRK</t>
  </si>
  <si>
    <t xml:space="preserve">Insurance (prospect)</t>
  </si>
  <si>
    <t xml:space="preserve">AUR</t>
  </si>
  <si>
    <t xml:space="preserve">Boutique hotels (prospect)</t>
  </si>
  <si>
    <t xml:space="preserve">NEW</t>
  </si>
  <si>
    <t xml:space="preserve">United Kingdom and EU</t>
  </si>
  <si>
    <t xml:space="preserve">Various: sized on the FY2026 win rate</t>
  </si>
  <si>
    <t xml:space="preserve">RETAINER CONTRACTS</t>
  </si>
  <si>
    <t xml:space="preserve">Type (rb = brand and content, rp = performance, rd = product design and development)</t>
  </si>
  <si>
    <t xml:space="preserve">Monthly fee (invoice currency)</t>
  </si>
  <si>
    <t xml:space="preserve">Scoped hours per month</t>
  </si>
  <si>
    <t xml:space="preserve">Start (month)</t>
  </si>
  <si>
    <t xml:space="preserve">Current term ends (month)</t>
  </si>
  <si>
    <t xml:space="preserve">Renewal or win % Base</t>
  </si>
  <si>
    <t xml:space="preserve">Renewal or win % Downside</t>
  </si>
  <si>
    <t xml:space="preserve">Renewal or win % Upside</t>
  </si>
  <si>
    <t xml:space="preserve">Renewal or win % selected</t>
  </si>
  <si>
    <t xml:space="preserve">Billing (M = monthly, Q = quarterly, in advance)</t>
  </si>
  <si>
    <t xml:space="preserve">Start month no.</t>
  </si>
  <si>
    <t xml:space="preserve">Term end month no.</t>
  </si>
  <si>
    <t xml:space="preserve">Overservicing YTD (hours worked / scoped - 1)</t>
  </si>
  <si>
    <t xml:space="preserve">Overservicing forecast</t>
  </si>
  <si>
    <t xml:space="preserve">Monthly fee at the last actual average rate (EUR)</t>
  </si>
  <si>
    <t xml:space="preserve">R-HAL</t>
  </si>
  <si>
    <t xml:space="preserve">rd</t>
  </si>
  <si>
    <t xml:space="preserve">Annual, renews 31-Dec</t>
  </si>
  <si>
    <t xml:space="preserve">M</t>
  </si>
  <si>
    <t xml:space="preserve">R-THV</t>
  </si>
  <si>
    <t xml:space="preserve">rb</t>
  </si>
  <si>
    <t xml:space="preserve">Annual, renews 31-Mar</t>
  </si>
  <si>
    <t xml:space="preserve">Q</t>
  </si>
  <si>
    <t xml:space="preserve">R-RVM</t>
  </si>
  <si>
    <t xml:space="preserve">Annual, renews 30-Jun</t>
  </si>
  <si>
    <t xml:space="preserve">R-PEL</t>
  </si>
  <si>
    <t xml:space="preserve">12 months from Jun-26</t>
  </si>
  <si>
    <t xml:space="preserve">R-QFS</t>
  </si>
  <si>
    <t xml:space="preserve">12 months from Apr-26</t>
  </si>
  <si>
    <t xml:space="preserve">R-HOC</t>
  </si>
  <si>
    <t xml:space="preserve">rp</t>
  </si>
  <si>
    <t xml:space="preserve">R-VOL</t>
  </si>
  <si>
    <t xml:space="preserve">R-LIN</t>
  </si>
  <si>
    <t xml:space="preserve">Annual, renews 30-Sep</t>
  </si>
  <si>
    <t xml:space="preserve">R-VDH</t>
  </si>
  <si>
    <t xml:space="preserve">Annual, renews 28-Feb</t>
  </si>
  <si>
    <t xml:space="preserve">R-SRV</t>
  </si>
  <si>
    <t xml:space="preserve">Notice received Jun-26, ends 30-Sep-26</t>
  </si>
  <si>
    <t xml:space="preserve">R-TAM</t>
  </si>
  <si>
    <t xml:space="preserve">R-FER</t>
  </si>
  <si>
    <t xml:space="preserve">Proposal: 12 months from Jan-27</t>
  </si>
  <si>
    <t xml:space="preserve">R-HAL2</t>
  </si>
  <si>
    <t xml:space="preserve">Proposal: growth marketing pod from Mar-27</t>
  </si>
  <si>
    <t xml:space="preserve">R-AUR</t>
  </si>
  <si>
    <t xml:space="preserve">Proposal: follows the website project</t>
  </si>
  <si>
    <t xml:space="preserve">R-BRK</t>
  </si>
  <si>
    <t xml:space="preserve">Proposal: follows the portal project</t>
  </si>
  <si>
    <t xml:space="preserve">Month numbers count from the model start (Jan-26 = 1). Active contracts run at 100% to the end of the current term and at the renewal probability of the selected scenario after it; pipeline contracts run at the win probability from their start. Overservicing = hours worked above the scoped hours; the forecast applies the scenario factor to each client YTD level.</t>
  </si>
  <si>
    <t xml:space="preserve">PROJECT REGISTER: FIXED-FEE PROJECTS</t>
  </si>
  <si>
    <t xml:space="preserve">One row per project. Blue = input (contract terms, budget hours, production budgets, FY2025 closing positions). Black = derived. Pipeline projects are weighted by the win probability of the selected scenario; delays and overruns come from the scenario drivers.</t>
  </si>
  <si>
    <t xml:space="preserve">Project</t>
  </si>
  <si>
    <t xml:space="preserve">Status at last actual</t>
  </si>
  <si>
    <t xml:space="preserve">Planned completion (month)</t>
  </si>
  <si>
    <t xml:space="preserve">Fee incl. approved change requests (invoice currency)</t>
  </si>
  <si>
    <t xml:space="preserve">Budget hours</t>
  </si>
  <si>
    <t xml:space="preserve">Third-party production budget (EUR)</t>
  </si>
  <si>
    <t xml:space="preserve">Mark-up on production recharged</t>
  </si>
  <si>
    <t xml:space="preserve">Opening hours to date</t>
  </si>
  <si>
    <t xml:space="preserve">Opening fee revenue to date</t>
  </si>
  <si>
    <t xml:space="preserve">Opening fee invoiced to date</t>
  </si>
  <si>
    <t xml:space="preserve">Start delay (months, scenario)</t>
  </si>
  <si>
    <t xml:space="preserve">Start month no. (effective)</t>
  </si>
  <si>
    <t xml:space="preserve">Completion month no. (effective)</t>
  </si>
  <si>
    <t xml:space="preserve">Interim milestone month no.</t>
  </si>
  <si>
    <t xml:space="preserve">Fee, probability-weighted</t>
  </si>
  <si>
    <t xml:space="preserve">Hours to date at last actual</t>
  </si>
  <si>
    <t xml:space="preserve">Estimate to complete at last actual (hours)</t>
  </si>
  <si>
    <t xml:space="preserve">Overrun applied</t>
  </si>
  <si>
    <t xml:space="preserve">Forecast hours at completion</t>
  </si>
  <si>
    <t xml:space="preserve">Programme position at last actual</t>
  </si>
  <si>
    <t xml:space="preserve">S-curve share at last actual</t>
  </si>
  <si>
    <t xml:space="preserve">Production cost to date at last actual</t>
  </si>
  <si>
    <t xml:space="preserve">Production cost remaining (weighted)</t>
  </si>
  <si>
    <t xml:space="preserve">Fee per hour at completion (invoice currency)</t>
  </si>
  <si>
    <t xml:space="preserve">Fee per hour at budget (invoice currency)</t>
  </si>
  <si>
    <t xml:space="preserve">P-2505</t>
  </si>
  <si>
    <t xml:space="preserve">Ecommerce website rebuild</t>
  </si>
  <si>
    <t xml:space="preserve">Completed</t>
  </si>
  <si>
    <t xml:space="preserve">P-2506</t>
  </si>
  <si>
    <t xml:space="preserve">Booking app redesign</t>
  </si>
  <si>
    <t xml:space="preserve">P-2507</t>
  </si>
  <si>
    <t xml:space="preserve">Web platform rebuild</t>
  </si>
  <si>
    <t xml:space="preserve">P-2601</t>
  </si>
  <si>
    <t xml:space="preserve">Marketing website and design system rebuild</t>
  </si>
  <si>
    <t xml:space="preserve">P-2602</t>
  </si>
  <si>
    <t xml:space="preserve">Learning platform UX and front-end build</t>
  </si>
  <si>
    <t xml:space="preserve">P-2603</t>
  </si>
  <si>
    <t xml:space="preserve">Brand identity and website</t>
  </si>
  <si>
    <t xml:space="preserve">P-2604</t>
  </si>
  <si>
    <t xml:space="preserve">Packaging range and ecommerce site</t>
  </si>
  <si>
    <t xml:space="preserve">P-2605</t>
  </si>
  <si>
    <t xml:space="preserve">App onboarding redesign</t>
  </si>
  <si>
    <t xml:space="preserve">P-2606</t>
  </si>
  <si>
    <t xml:space="preserve">Product launch campaign (incl. video production)</t>
  </si>
  <si>
    <t xml:space="preserve">Contracted</t>
  </si>
  <si>
    <t xml:space="preserve">PL-01</t>
  </si>
  <si>
    <t xml:space="preserve">Customer portal redesign</t>
  </si>
  <si>
    <t xml:space="preserve">PL-02</t>
  </si>
  <si>
    <t xml:space="preserve">Brand and website</t>
  </si>
  <si>
    <t xml:space="preserve">PL-03</t>
  </si>
  <si>
    <t xml:space="preserve">Product launch campaign</t>
  </si>
  <si>
    <t xml:space="preserve">PL-04</t>
  </si>
  <si>
    <t xml:space="preserve">Booking website</t>
  </si>
  <si>
    <t xml:space="preserve">NW-1</t>
  </si>
  <si>
    <t xml:space="preserve">New project wins not yet identified, Q1-27 starts (run-rate)</t>
  </si>
  <si>
    <t xml:space="preserve">NW-2</t>
  </si>
  <si>
    <t xml:space="preserve">New project wins not yet identified, Q2-27 starts (run-rate)</t>
  </si>
  <si>
    <t xml:space="preserve">NW-3</t>
  </si>
  <si>
    <t xml:space="preserve">New project wins not yet identified, Q3-27 starts (run-rate)</t>
  </si>
  <si>
    <t xml:space="preserve">NW-4</t>
  </si>
  <si>
    <t xml:space="preserve">New project wins not yet identified, Q4-27 starts (run-rate)</t>
  </si>
  <si>
    <t xml:space="preserve">Revenue on fixed-fee projects follows hours: % complete = hours to date / estimated hours at completion (IFRS 15.B18 input method). Milestone invoices: deposit at start, interim at the mid-point, balance at completion; forecast invoicing tops up to each milestone. Production costs recharged with a mark-up are revenue gross (principal, IFRS 15.B34 to B37).</t>
  </si>
  <si>
    <t xml:space="preserve">KALDMERE STUDIO OÜ (FICTIONAL DEMONSTRATION COMPANY)</t>
  </si>
  <si>
    <t xml:space="preserve">ASSUMPTIONS, TIMELINE AND SCENARIO DRIVERS</t>
  </si>
  <si>
    <t xml:space="preserve">Every input lives here, on Inputs_Actuals, the registers, the staff and hiring tables or Budget_FY26. Blue on yellow = input. Black = formula. Green = link to another sheet.</t>
  </si>
  <si>
    <t xml:space="preserve">GENERAL</t>
  </si>
  <si>
    <t xml:space="preserve">Company name</t>
  </si>
  <si>
    <t xml:space="preserve">Kaldmere Studio OÜ (fictional demonstration company)</t>
  </si>
  <si>
    <t xml:space="preserve">All figures fictional. Estonian private limited company (osaühing), financial year = calendar year, reporting currency EUR; clients billed in EUR, GBP and USD.</t>
  </si>
  <si>
    <t xml:space="preserve">Reporting currency</t>
  </si>
  <si>
    <t xml:space="preserve">Model start month (month end)</t>
  </si>
  <si>
    <t xml:space="preserve">date</t>
  </si>
  <si>
    <t xml:space="preserve">24 monthly columns from this month</t>
  </si>
  <si>
    <t xml:space="preserve">Last actual month (month end)</t>
  </si>
  <si>
    <t xml:space="preserve">Months up to and including this date are actual (fictional ledger); later months are forecast</t>
  </si>
  <si>
    <t xml:space="preserve">Last actual month number</t>
  </si>
  <si>
    <t xml:space="preserve">calc</t>
  </si>
  <si>
    <t xml:space="preserve">Scenario selector (1 = Base, 2 = Downside, 3 = Upside)</t>
  </si>
  <si>
    <t xml:space="preserve">input</t>
  </si>
  <si>
    <t xml:space="preserve">Change this cell and every forecast month moves. Base = management case; Downside = worst case; Upside = best case.</t>
  </si>
  <si>
    <t xml:space="preserve">Scenario name</t>
  </si>
  <si>
    <t xml:space="preserve">Used by the 13-week cash forecast and the CFO report</t>
  </si>
  <si>
    <t xml:space="preserve">Undrawn overdraft facility available</t>
  </si>
  <si>
    <t xml:space="preserve">Committed revolving overdraft, undrawn; first lever if the buffer is breached</t>
  </si>
  <si>
    <t xml:space="preserve">Aged receivables and payables: as-at date</t>
  </si>
  <si>
    <t xml:space="preserve">TAX (ESTONIA), VERIFIED AGAINST EMTA ON 23-SEP-26</t>
  </si>
  <si>
    <t xml:space="preserve">VAT: standard rate</t>
  </si>
  <si>
    <t xml:space="preserve">rate</t>
  </si>
  <si>
    <t xml:space="preserve">From 1-Jul-25 (EMTA, Standard VAT rate). Charged to Estonian clients only: services to EU and non-EU business clients are taxed where the client is established (0% in Estonia, KMD field 3; VAT Act s10)</t>
  </si>
  <si>
    <t xml:space="preserve">Income tax on distributions (22/78 of the net dividend)</t>
  </si>
  <si>
    <t xml:space="preserve">EMTA: 22% of the gross distribution from 2025, unchanged for 2026; due by the 10th of the month after payment. Retained profit is not taxed.</t>
  </si>
  <si>
    <t xml:space="preserve">Social tax, employer</t>
  </si>
  <si>
    <t xml:space="preserve">EMTA 2026; minimum monthly base EUR 886 (every salary in the model is above it)</t>
  </si>
  <si>
    <t xml:space="preserve">Unemployment insurance, employer</t>
  </si>
  <si>
    <t xml:space="preserve">EMTA: fixed for 2025 to 2028</t>
  </si>
  <si>
    <t xml:space="preserve">Unemployment insurance, employee (withheld)</t>
  </si>
  <si>
    <t xml:space="preserve">Funded pension, employee (withheld)</t>
  </si>
  <si>
    <t xml:space="preserve">EMTA: 2% default; 4% or 6% by election (model assumes 2% for all staff)</t>
  </si>
  <si>
    <t xml:space="preserve">Income tax withheld on salaries</t>
  </si>
  <si>
    <t xml:space="preserve">EMTA 2026: 22%; the planned rise to 24% did not take effect</t>
  </si>
  <si>
    <t xml:space="preserve">Basic exemption per employee per month</t>
  </si>
  <si>
    <t xml:space="preserve">EMTA 2026: EUR 700 a month, no longer tapered by income</t>
  </si>
  <si>
    <t xml:space="preserve">Freelancers: share invoicing with Estonian VAT</t>
  </si>
  <si>
    <t xml:space="preserve">share</t>
  </si>
  <si>
    <t xml:space="preserve">VAT-registered Estonian freelancers; input VAT recoverable</t>
  </si>
  <si>
    <t xml:space="preserve">Freelancers: share from other EU countries (reverse charge)</t>
  </si>
  <si>
    <t xml:space="preserve">The rest (15%) are individuals below the VAT threshold</t>
  </si>
  <si>
    <t xml:space="preserve">Software: share bought from foreign vendors (reverse charge)</t>
  </si>
  <si>
    <t xml:space="preserve">Self-assessed output and input VAT net to zero</t>
  </si>
  <si>
    <t xml:space="preserve">DELIVERY CAPACITY, RATES AND PAY</t>
  </si>
  <si>
    <t xml:space="preserve">Target utilisation used to set the standard cost rate</t>
  </si>
  <si>
    <t xml:space="preserve">Standard cost rate recovers role payroll at this utilisation of productive hours</t>
  </si>
  <si>
    <t xml:space="preserve">Maximum sustainable utilisation (above it work goes to freelancers)</t>
  </si>
  <si>
    <t xml:space="preserve">Average productive hours per FTE per month (Timeline profile)</t>
  </si>
  <si>
    <t xml:space="preserve">Rate card, FY2026: strategy and account management (EUR per hour)</t>
  </si>
  <si>
    <t xml:space="preserve">EUR/hour</t>
  </si>
  <si>
    <t xml:space="preserve">Rate card, FY2026: creative and design (EUR per hour)</t>
  </si>
  <si>
    <t xml:space="preserve">Rate card, FY2026: content, copy and video (EUR per hour)</t>
  </si>
  <si>
    <t xml:space="preserve">Rate card, FY2026: development and qa (EUR per hour)</t>
  </si>
  <si>
    <t xml:space="preserve">Rate card, FY2026: performance marketing (EUR per hour)</t>
  </si>
  <si>
    <t xml:space="preserve">Rate card, FY2026: project and delivery management (EUR per hour)</t>
  </si>
  <si>
    <t xml:space="preserve">Monthly gross salary, FY2026: strategy and account management</t>
  </si>
  <si>
    <t xml:space="preserve">Average per head for the role</t>
  </si>
  <si>
    <t xml:space="preserve">Monthly gross salary, FY2026: creative and design</t>
  </si>
  <si>
    <t xml:space="preserve">Monthly gross salary, FY2026: content, copy and video</t>
  </si>
  <si>
    <t xml:space="preserve">Monthly gross salary, FY2026: development and qa</t>
  </si>
  <si>
    <t xml:space="preserve">Monthly gross salary, FY2026: performance marketing</t>
  </si>
  <si>
    <t xml:space="preserve">Monthly gross salary, FY2026: project and delivery management</t>
  </si>
  <si>
    <t xml:space="preserve">Freelancer cost per hour: strategy and account management</t>
  </si>
  <si>
    <t xml:space="preserve">Freelancer cost per hour: creative and design</t>
  </si>
  <si>
    <t xml:space="preserve">Freelancer cost per hour: content, copy and video</t>
  </si>
  <si>
    <t xml:space="preserve">Freelancer cost per hour: development and qa</t>
  </si>
  <si>
    <t xml:space="preserve">Freelancer cost per hour: performance marketing</t>
  </si>
  <si>
    <t xml:space="preserve">Freelancer cost per hour: project and delivery management</t>
  </si>
  <si>
    <t xml:space="preserve">Standard cost rate, FY2026: strategy and account management (EUR per billable hour)</t>
  </si>
  <si>
    <t xml:space="preserve">salary x (1 + social tax + UI) / (average productive hours x target utilisation)</t>
  </si>
  <si>
    <t xml:space="preserve">Standard cost rate, FY2026: creative and design (EUR per billable hour)</t>
  </si>
  <si>
    <t xml:space="preserve">Standard cost rate, FY2026: content, copy and video (EUR per billable hour)</t>
  </si>
  <si>
    <t xml:space="preserve">Standard cost rate, FY2026: development and qa (EUR per billable hour)</t>
  </si>
  <si>
    <t xml:space="preserve">Standard cost rate, FY2026: performance marketing (EUR per billable hour)</t>
  </si>
  <si>
    <t xml:space="preserve">Standard cost rate, FY2026: project and delivery management (EUR per billable hour)</t>
  </si>
  <si>
    <t xml:space="preserve">Specialist freelancers per month (illustration, motion, voice-over)</t>
  </si>
  <si>
    <t xml:space="preserve">Forecast base, inflated from FY2027</t>
  </si>
  <si>
    <t xml:space="preserve">Pay inflation applied from FY2027</t>
  </si>
  <si>
    <t xml:space="preserve">Company assumption for the FY2027 pay review; information needed: the approved review</t>
  </si>
  <si>
    <t xml:space="preserve">Overhead inflation applied from FY2027</t>
  </si>
  <si>
    <t xml:space="preserve">Bonus accrual rate used in actual months (share of gross pay)</t>
  </si>
  <si>
    <t xml:space="preserve">Accrued with employer taxes; paid in March for the prior year</t>
  </si>
  <si>
    <t xml:space="preserve">Recruitment agency fee per hire</t>
  </si>
  <si>
    <t xml:space="preserve">Equipment per new hire</t>
  </si>
  <si>
    <t xml:space="preserve">IT replacement cycle, capex per month</t>
  </si>
  <si>
    <t xml:space="preserve">Office fit-out extension (desks for growth)</t>
  </si>
  <si>
    <t xml:space="preserve">Office fit-out extension: month</t>
  </si>
  <si>
    <t xml:space="preserve">Depreciation: IT equipment, useful life</t>
  </si>
  <si>
    <t xml:space="preserve">years</t>
  </si>
  <si>
    <t xml:space="preserve">Depreciation: office fit-out and furniture, useful life</t>
  </si>
  <si>
    <t xml:space="preserve">REVENUE, BILLING AND FOREIGN EXCHANGE</t>
  </si>
  <si>
    <t xml:space="preserve">Fixed-fee projects: deposit invoiced at start</t>
  </si>
  <si>
    <t xml:space="preserve">Standard terms; the balance on completion</t>
  </si>
  <si>
    <t xml:space="preserve">Fixed-fee projects: interim milestone at the programme mid-point</t>
  </si>
  <si>
    <t xml:space="preserve">Fixed-fee projects: balance invoiced at completion</t>
  </si>
  <si>
    <t xml:space="preserve">GBP per EUR at 31-Dec-25 (ECB reference rate)</t>
  </si>
  <si>
    <t xml:space="preserve">ECB euro foreign exchange reference rates, 31-Dec-25</t>
  </si>
  <si>
    <t xml:space="preserve">USD per EUR at 31-Dec-25 (ECB reference rate)</t>
  </si>
  <si>
    <t xml:space="preserve">ROLE MIX OF HOURS BY WORK TYPE (share of hours by role; each row sums to 100%)</t>
  </si>
  <si>
    <t xml:space="preserve">Work type</t>
  </si>
  <si>
    <t xml:space="preserve">Strategy and account management</t>
  </si>
  <si>
    <t xml:space="preserve">Creative and design</t>
  </si>
  <si>
    <t xml:space="preserve">Content, copy and video</t>
  </si>
  <si>
    <t xml:space="preserve">Development and QA</t>
  </si>
  <si>
    <t xml:space="preserve">Performance marketing</t>
  </si>
  <si>
    <t xml:space="preserve">Project and delivery management</t>
  </si>
  <si>
    <t xml:space="preserve">Company timesheet analysis, FY2025 (fictional). Drives the forecast demand for each role from the hours of each work type.</t>
  </si>
  <si>
    <t xml:space="preserve">WORKING CAPITAL AND FINANCING</t>
  </si>
  <si>
    <t xml:space="preserve">Freelancers: days payable</t>
  </si>
  <si>
    <t xml:space="preserve">days</t>
  </si>
  <si>
    <t xml:space="preserve">Payment runs on the 15th and at month end</t>
  </si>
  <si>
    <t xml:space="preserve">Media platforms: days payable</t>
  </si>
  <si>
    <t xml:space="preserve">Monthly platform invoices on credit lines, 30 days</t>
  </si>
  <si>
    <t xml:space="preserve">Production suppliers: days payable</t>
  </si>
  <si>
    <t xml:space="preserve">Overhead suppliers: days payable</t>
  </si>
  <si>
    <t xml:space="preserve">Bank loan (2025 office fit-out): annual interest rate</t>
  </si>
  <si>
    <t xml:space="preserve">Bank loan: monthly principal</t>
  </si>
  <si>
    <t xml:space="preserve">Straight-line to Dec-28</t>
  </si>
  <si>
    <t xml:space="preserve">Dividend on FY2026 profit: month paid</t>
  </si>
  <si>
    <t xml:space="preserve">After the FY2026 annual report is approved</t>
  </si>
  <si>
    <t xml:space="preserve">Disputed change request CR-03 (Norbeck Analytics), USD</t>
  </si>
  <si>
    <t xml:space="preserve">Invoiced 29-May-26; 50% provided in June</t>
  </si>
  <si>
    <t xml:space="preserve">TIMELINE (24 months)</t>
  </si>
  <si>
    <t xml:space="preserve">Month end date</t>
  </si>
  <si>
    <t xml:space="preserve">Financial year</t>
  </si>
  <si>
    <t xml:space="preserve">Calendar month</t>
  </si>
  <si>
    <t xml:space="preserve">Days in month</t>
  </si>
  <si>
    <t xml:space="preserve">Months after the last actual month (growth compounding base)</t>
  </si>
  <si>
    <t xml:space="preserve">Pay and overhead inflation factor</t>
  </si>
  <si>
    <t xml:space="preserve">Overhead inflation factor</t>
  </si>
  <si>
    <t xml:space="preserve">Productive hours per FTE (12-month profile, FY2027 repeats FY2026)</t>
  </si>
  <si>
    <t xml:space="preserve">Demand seasonality for time and materials (productive hours / average)</t>
  </si>
  <si>
    <t xml:space="preserve">Media spend seasonality (12-month profile, FY2027 repeats FY2026)</t>
  </si>
  <si>
    <t xml:space="preserve">Bonus for the prior year paid (March)</t>
  </si>
  <si>
    <t xml:space="preserve">SCENARIO DRIVERS  (C = Base, D = Downside, E = Upside, F = selected, G = YTD actual reference)</t>
  </si>
  <si>
    <t xml:space="preserve">Driver</t>
  </si>
  <si>
    <t xml:space="preserve">Selected</t>
  </si>
  <si>
    <t xml:space="preserve">Note</t>
  </si>
  <si>
    <t xml:space="preserve">Retainer fee change at renewal</t>
  </si>
  <si>
    <t xml:space="preserve">Downside = rate pressure at renewal</t>
  </si>
  <si>
    <t xml:space="preserve">Retainer overservicing vs the YTD level of each client</t>
  </si>
  <si>
    <t xml:space="preserve">x</t>
  </si>
  <si>
    <t xml:space="preserve">Base: scope reset at the October reviews removes 30% of the overservicing</t>
  </si>
  <si>
    <t xml:space="preserve">Overservicing on retainers with no history yet</t>
  </si>
  <si>
    <t xml:space="preserve">Start delay: contracted and pipeline projects</t>
  </si>
  <si>
    <t xml:space="preserve">months</t>
  </si>
  <si>
    <t xml:space="preserve">Overrun on remaining project hours</t>
  </si>
  <si>
    <t xml:space="preserve">Applied to the estimate to complete at the last actual month</t>
  </si>
  <si>
    <t xml:space="preserve">Time and materials demand factor</t>
  </si>
  <si>
    <t xml:space="preserve">Time and materials write-off: change vs YTD</t>
  </si>
  <si>
    <t xml:space="preserve">Client media spend factor</t>
  </si>
  <si>
    <t xml:space="preserve">Rate card and hourly rates change, FY2027</t>
  </si>
  <si>
    <t xml:space="preserve">GBP and USD vs EUR from the last actual month-end (+ = weaker pound and dollar)</t>
  </si>
  <si>
    <t xml:space="preserve">Forecast rate = last actual ECB month-end rate x (1 + shift)</t>
  </si>
  <si>
    <t xml:space="preserve">Clients: extra days to collect</t>
  </si>
  <si>
    <t xml:space="preserve">Delivery hiring plan (1 = as planned, 0 = freeze)</t>
  </si>
  <si>
    <t xml:space="preserve">flag</t>
  </si>
  <si>
    <t xml:space="preserve">Head of delivery hire (1 = as planned, 0 = freeze)</t>
  </si>
  <si>
    <t xml:space="preserve">Bonus accrual rate, forecast months</t>
  </si>
  <si>
    <t xml:space="preserve">Delivery capacity cut after losing the top client (FTE, spread across roles)</t>
  </si>
  <si>
    <t xml:space="preserve">FTE</t>
  </si>
  <si>
    <t xml:space="preserve">Management response in the Downside: notice given in January, leavers off payroll from the month below</t>
  </si>
  <si>
    <t xml:space="preserve">Capacity cut: first month without the leavers</t>
  </si>
  <si>
    <t xml:space="preserve">Redundancy compensation of one month average wage paid in that month (Employment Contracts Act s100); notice of 15 to 90 days by tenure (s97)</t>
  </si>
  <si>
    <t xml:space="preserve">Discretionary overheads factor (travel, new business, training)</t>
  </si>
  <si>
    <t xml:space="preserve">Dividend on FY2026 profit (share of net profit, paid Jun-27)</t>
  </si>
  <si>
    <t xml:space="preserve">Disputed CR-03: share recovered</t>
  </si>
  <si>
    <t xml:space="preserve">Disputed CR-03: month of settlement</t>
  </si>
  <si>
    <t xml:space="preserve">INPUTS: ACTUAL MONTHS (FICTIONAL LEDGER, TIMESHEETS, PAYROLL, CRM AND BANK)</t>
  </si>
  <si>
    <t xml:space="preserve">Jan-26 to Aug-26 are fictional actuals entered as inputs. Forecast months are blank by design and are driven from Assumptions and the registers. Client amounts are in the invoice currency.</t>
  </si>
  <si>
    <t xml:space="preserve">FOREIGN EXCHANGE: ECB REFERENCE RATES (units per EUR). Month end = ECB rate on the last business day; average = mean of opening and closing month-end rates</t>
  </si>
  <si>
    <t xml:space="preserve">ECB (derived)</t>
  </si>
  <si>
    <t xml:space="preserve">ECB</t>
  </si>
  <si>
    <t xml:space="preserve">RETAINERS (invoice currency): fees recognised, hours worked per timesheets, invoices raised</t>
  </si>
  <si>
    <t xml:space="preserve">R-HAL: retainer fee recognised (GBP)</t>
  </si>
  <si>
    <t xml:space="preserve">ledger</t>
  </si>
  <si>
    <t xml:space="preserve">R-HAL: hours worked</t>
  </si>
  <si>
    <t xml:space="preserve">timesheets</t>
  </si>
  <si>
    <t xml:space="preserve">R-HAL: invoiced (monthly in advance)</t>
  </si>
  <si>
    <t xml:space="preserve">sales ledger</t>
  </si>
  <si>
    <t xml:space="preserve">R-THV: retainer fee recognised (GBP)</t>
  </si>
  <si>
    <t xml:space="preserve">R-THV: hours worked</t>
  </si>
  <si>
    <t xml:space="preserve">R-THV: invoiced (quarterly in advance)</t>
  </si>
  <si>
    <t xml:space="preserve">R-RVM: retainer fee recognised (GBP)</t>
  </si>
  <si>
    <t xml:space="preserve">R-RVM: hours worked</t>
  </si>
  <si>
    <t xml:space="preserve">R-RVM: invoiced (monthly in advance)</t>
  </si>
  <si>
    <t xml:space="preserve">R-PEL: retainer fee recognised (GBP)</t>
  </si>
  <si>
    <t xml:space="preserve">R-PEL: hours worked</t>
  </si>
  <si>
    <t xml:space="preserve">R-PEL: invoiced (monthly in advance)</t>
  </si>
  <si>
    <t xml:space="preserve">R-QFS: retainer fee recognised (USD)</t>
  </si>
  <si>
    <t xml:space="preserve">R-QFS: hours worked</t>
  </si>
  <si>
    <t xml:space="preserve">R-QFS: invoiced (monthly in advance)</t>
  </si>
  <si>
    <t xml:space="preserve">R-HOC: retainer fee recognised (USD)</t>
  </si>
  <si>
    <t xml:space="preserve">R-HOC: hours worked</t>
  </si>
  <si>
    <t xml:space="preserve">R-HOC: invoiced (monthly in advance)</t>
  </si>
  <si>
    <t xml:space="preserve">R-VOL: retainer fee recognised (EUR)</t>
  </si>
  <si>
    <t xml:space="preserve">R-VOL: hours worked</t>
  </si>
  <si>
    <t xml:space="preserve">R-VOL: invoiced (monthly in advance)</t>
  </si>
  <si>
    <t xml:space="preserve">R-LIN: retainer fee recognised (EUR)</t>
  </si>
  <si>
    <t xml:space="preserve">R-LIN: hours worked</t>
  </si>
  <si>
    <t xml:space="preserve">R-LIN: invoiced (quarterly in advance)</t>
  </si>
  <si>
    <t xml:space="preserve">R-VDH: retainer fee recognised (EUR)</t>
  </si>
  <si>
    <t xml:space="preserve">R-VDH: hours worked</t>
  </si>
  <si>
    <t xml:space="preserve">R-VDH: invoiced (monthly in advance)</t>
  </si>
  <si>
    <t xml:space="preserve">R-SRV: retainer fee recognised (EUR)</t>
  </si>
  <si>
    <t xml:space="preserve">R-SRV: hours worked</t>
  </si>
  <si>
    <t xml:space="preserve">R-SRV: invoiced (monthly in advance)</t>
  </si>
  <si>
    <t xml:space="preserve">R-TAM: retainer fee recognised (EUR)</t>
  </si>
  <si>
    <t xml:space="preserve">R-TAM: hours worked</t>
  </si>
  <si>
    <t xml:space="preserve">R-TAM: invoiced (monthly in advance)</t>
  </si>
  <si>
    <t xml:space="preserve">FIXED-FEE PROJECTS (invoice currency; production costs in EUR)</t>
  </si>
  <si>
    <t xml:space="preserve">P-2505: hours worked</t>
  </si>
  <si>
    <t xml:space="preserve">P-2505: estimate to complete at month end (hours)</t>
  </si>
  <si>
    <t xml:space="preserve">project manager estimate</t>
  </si>
  <si>
    <t xml:space="preserve">P-2505: contract value in force (incl. approved change requests)</t>
  </si>
  <si>
    <t xml:space="preserve">contract</t>
  </si>
  <si>
    <t xml:space="preserve">P-2505: fee revenue recognised</t>
  </si>
  <si>
    <t xml:space="preserve">ledger (percentage of completion)</t>
  </si>
  <si>
    <t xml:space="preserve">P-2505: fee invoiced</t>
  </si>
  <si>
    <t xml:space="preserve">P-2506: hours worked</t>
  </si>
  <si>
    <t xml:space="preserve">P-2506: estimate to complete at month end (hours)</t>
  </si>
  <si>
    <t xml:space="preserve">P-2506: contract value in force (incl. approved change requests)</t>
  </si>
  <si>
    <t xml:space="preserve">P-2506: fee revenue recognised</t>
  </si>
  <si>
    <t xml:space="preserve">P-2506: fee invoiced</t>
  </si>
  <si>
    <t xml:space="preserve">P-2507: hours worked</t>
  </si>
  <si>
    <t xml:space="preserve">P-2507: estimate to complete at month end (hours)</t>
  </si>
  <si>
    <t xml:space="preserve">P-2507: contract value in force (incl. approved change requests)</t>
  </si>
  <si>
    <t xml:space="preserve">P-2507: fee revenue recognised</t>
  </si>
  <si>
    <t xml:space="preserve">P-2507: fee invoiced</t>
  </si>
  <si>
    <t xml:space="preserve">P-2601: hours worked</t>
  </si>
  <si>
    <t xml:space="preserve">P-2601: estimate to complete at month end (hours)</t>
  </si>
  <si>
    <t xml:space="preserve">P-2601: contract value in force (incl. approved change requests)</t>
  </si>
  <si>
    <t xml:space="preserve">P-2601: fee revenue recognised</t>
  </si>
  <si>
    <t xml:space="preserve">P-2601: fee invoiced</t>
  </si>
  <si>
    <t xml:space="preserve">P-2602: hours worked</t>
  </si>
  <si>
    <t xml:space="preserve">P-2602: estimate to complete at month end (hours)</t>
  </si>
  <si>
    <t xml:space="preserve">P-2602: contract value in force (incl. approved change requests)</t>
  </si>
  <si>
    <t xml:space="preserve">P-2602: fee revenue recognised</t>
  </si>
  <si>
    <t xml:space="preserve">P-2602: fee invoiced</t>
  </si>
  <si>
    <t xml:space="preserve">P-2603: hours worked</t>
  </si>
  <si>
    <t xml:space="preserve">P-2603: estimate to complete at month end (hours)</t>
  </si>
  <si>
    <t xml:space="preserve">P-2603: contract value in force (incl. approved change requests)</t>
  </si>
  <si>
    <t xml:space="preserve">P-2603: fee revenue recognised</t>
  </si>
  <si>
    <t xml:space="preserve">P-2603: fee invoiced</t>
  </si>
  <si>
    <t xml:space="preserve">P-2604: hours worked</t>
  </si>
  <si>
    <t xml:space="preserve">P-2604: estimate to complete at month end (hours)</t>
  </si>
  <si>
    <t xml:space="preserve">P-2604: contract value in force (incl. approved change requests)</t>
  </si>
  <si>
    <t xml:space="preserve">P-2604: fee revenue recognised</t>
  </si>
  <si>
    <t xml:space="preserve">P-2604: fee invoiced</t>
  </si>
  <si>
    <t xml:space="preserve">P-2604: third-party production cost (EUR)</t>
  </si>
  <si>
    <t xml:space="preserve">purchase ledger</t>
  </si>
  <si>
    <t xml:space="preserve">P-2605: hours worked</t>
  </si>
  <si>
    <t xml:space="preserve">P-2605: estimate to complete at month end (hours)</t>
  </si>
  <si>
    <t xml:space="preserve">P-2605: contract value in force (incl. approved change requests)</t>
  </si>
  <si>
    <t xml:space="preserve">P-2605: fee revenue recognised</t>
  </si>
  <si>
    <t xml:space="preserve">P-2605: fee invoiced</t>
  </si>
  <si>
    <t xml:space="preserve">TIME AND MATERIALS AND MEDIA (invoice currency)</t>
  </si>
  <si>
    <t xml:space="preserve">ASH: time and materials hours</t>
  </si>
  <si>
    <t xml:space="preserve">ASH: time and materials revenue (after write-offs)</t>
  </si>
  <si>
    <t xml:space="preserve">ASH: time and materials invoiced (prior month work)</t>
  </si>
  <si>
    <t xml:space="preserve">CAR: time and materials hours</t>
  </si>
  <si>
    <t xml:space="preserve">CAR: time and materials revenue (after write-offs)</t>
  </si>
  <si>
    <t xml:space="preserve">CAR: time and materials invoiced (prior month work)</t>
  </si>
  <si>
    <t xml:space="preserve">TWL: time and materials hours</t>
  </si>
  <si>
    <t xml:space="preserve">TWL: time and materials revenue (after write-offs)</t>
  </si>
  <si>
    <t xml:space="preserve">TWL: time and materials invoiced (prior month work)</t>
  </si>
  <si>
    <t xml:space="preserve">OTH: time and materials hours</t>
  </si>
  <si>
    <t xml:space="preserve">OTH: time and materials revenue (after write-offs)</t>
  </si>
  <si>
    <t xml:space="preserve">OTH: time and materials invoiced (prior month work)</t>
  </si>
  <si>
    <t xml:space="preserve">THV: media spend rebilled at cost</t>
  </si>
  <si>
    <t xml:space="preserve">platform statements</t>
  </si>
  <si>
    <t xml:space="preserve">THV: media management fee</t>
  </si>
  <si>
    <t xml:space="preserve">HOC: media spend rebilled at cost</t>
  </si>
  <si>
    <t xml:space="preserve">HOC: media management fee</t>
  </si>
  <si>
    <t xml:space="preserve">LIN: media spend rebilled at cost</t>
  </si>
  <si>
    <t xml:space="preserve">LIN: media management fee</t>
  </si>
  <si>
    <t xml:space="preserve">TAM: media spend rebilled at cost</t>
  </si>
  <si>
    <t xml:space="preserve">TAM: media management fee</t>
  </si>
  <si>
    <t xml:space="preserve">VDH: media spend rebilled at cost</t>
  </si>
  <si>
    <t xml:space="preserve">VDH: media management fee</t>
  </si>
  <si>
    <t xml:space="preserve">CLIENT RECEIPTS (bank, invoice currency)</t>
  </si>
  <si>
    <t xml:space="preserve">HAL: cash received (GBP)</t>
  </si>
  <si>
    <t xml:space="preserve">bank</t>
  </si>
  <si>
    <t xml:space="preserve">THV: cash received (GBP)</t>
  </si>
  <si>
    <t xml:space="preserve">PEL: cash received (GBP)</t>
  </si>
  <si>
    <t xml:space="preserve">ASH: cash received (GBP)</t>
  </si>
  <si>
    <t xml:space="preserve">TWL: cash received (GBP)</t>
  </si>
  <si>
    <t xml:space="preserve">RVM: cash received (GBP)</t>
  </si>
  <si>
    <t xml:space="preserve">MAR: cash received (GBP)</t>
  </si>
  <si>
    <t xml:space="preserve">QFS: cash received (USD)</t>
  </si>
  <si>
    <t xml:space="preserve">HOC: cash received (USD)</t>
  </si>
  <si>
    <t xml:space="preserve">NOR: cash received (USD)</t>
  </si>
  <si>
    <t xml:space="preserve">VOL: cash received (EUR)</t>
  </si>
  <si>
    <t xml:space="preserve">LIN: cash received (EUR)</t>
  </si>
  <si>
    <t xml:space="preserve">VDH: cash received (EUR)</t>
  </si>
  <si>
    <t xml:space="preserve">VLM: cash received (EUR)</t>
  </si>
  <si>
    <t xml:space="preserve">SRV: cash received (EUR)</t>
  </si>
  <si>
    <t xml:space="preserve">CAR: cash received (EUR)</t>
  </si>
  <si>
    <t xml:space="preserve">TAM: cash received (EUR)</t>
  </si>
  <si>
    <t xml:space="preserve">OTH: cash received (EUR)</t>
  </si>
  <si>
    <t xml:space="preserve">DELIVERY TEAM: HEADCOUNT, TIMESHEETS AND FREELANCERS</t>
  </si>
  <si>
    <t xml:space="preserve">Headcount: strategy and account management</t>
  </si>
  <si>
    <t xml:space="preserve">payroll</t>
  </si>
  <si>
    <t xml:space="preserve">Headcount: creative and design</t>
  </si>
  <si>
    <t xml:space="preserve">Headcount: content, copy and video</t>
  </si>
  <si>
    <t xml:space="preserve">Headcount: development and qa</t>
  </si>
  <si>
    <t xml:space="preserve">Headcount: performance marketing</t>
  </si>
  <si>
    <t xml:space="preserve">Headcount: project and delivery management</t>
  </si>
  <si>
    <t xml:space="preserve">Billable hours worked by own staff: strategy and account management</t>
  </si>
  <si>
    <t xml:space="preserve">Billable hours worked by own staff: creative and design</t>
  </si>
  <si>
    <t xml:space="preserve">Billable hours worked by own staff: content, copy and video</t>
  </si>
  <si>
    <t xml:space="preserve">Billable hours worked by own staff: development and qa</t>
  </si>
  <si>
    <t xml:space="preserve">Billable hours worked by own staff: performance marketing</t>
  </si>
  <si>
    <t xml:space="preserve">Billable hours worked by own staff: project and delivery management</t>
  </si>
  <si>
    <t xml:space="preserve">Billable hours worked by freelancers: strategy and account management</t>
  </si>
  <si>
    <t xml:space="preserve">freelancer timesheets</t>
  </si>
  <si>
    <t xml:space="preserve">Billable hours worked by freelancers: creative and design</t>
  </si>
  <si>
    <t xml:space="preserve">Billable hours worked by freelancers: content, copy and video</t>
  </si>
  <si>
    <t xml:space="preserve">Billable hours worked by freelancers: development and qa</t>
  </si>
  <si>
    <t xml:space="preserve">Billable hours worked by freelancers: performance marketing</t>
  </si>
  <si>
    <t xml:space="preserve">Billable hours worked by freelancers: project and delivery management</t>
  </si>
  <si>
    <t xml:space="preserve">Freelancer cost (ex VAT)</t>
  </si>
  <si>
    <t xml:space="preserve">PAYROLL</t>
  </si>
  <si>
    <t xml:space="preserve">Delivery team gross pay</t>
  </si>
  <si>
    <t xml:space="preserve">Prior-year bonus paid (provision utilised, incl. employer taxes)</t>
  </si>
  <si>
    <t xml:space="preserve">OVERHEADS (ex VAT), BAD DEBTS AND CAPEX</t>
  </si>
  <si>
    <t xml:space="preserve">Specific provision charged (bad debts)</t>
  </si>
  <si>
    <t xml:space="preserve">Capex: IT equipment</t>
  </si>
  <si>
    <t xml:space="preserve">asset register</t>
  </si>
  <si>
    <t xml:space="preserve">Capex: office fit-out and furniture</t>
  </si>
  <si>
    <t xml:space="preserve">SUPPLIER PAYMENTS, DIVIDENDS AND INCOME TAX ON DISTRIBUTIONS (bank)</t>
  </si>
  <si>
    <t xml:space="preserve">Freelancers: payments</t>
  </si>
  <si>
    <t xml:space="preserve">Media platforms: payments</t>
  </si>
  <si>
    <t xml:space="preserve">Production suppliers: payments</t>
  </si>
  <si>
    <t xml:space="preserve">Overhead suppliers: payments</t>
  </si>
  <si>
    <t xml:space="preserve">bank, shareholder resolution</t>
  </si>
  <si>
    <t xml:space="preserve">Income tax on distributions (22/78 of the dividend)</t>
  </si>
  <si>
    <t xml:space="preserve">TSD annex 7</t>
  </si>
  <si>
    <t xml:space="preserve">OPENING BALANCE SHEET AT 31-DEC-25 (FY2025 accounts, fictional); client openings are on Client_Register</t>
  </si>
  <si>
    <t xml:space="preserve">FY25 accounts</t>
  </si>
  <si>
    <t xml:space="preserve">IT equipment: cost</t>
  </si>
  <si>
    <t xml:space="preserve">IT equipment: accumulated depreciation</t>
  </si>
  <si>
    <t xml:space="preserve">Office fit-out and furniture: cost</t>
  </si>
  <si>
    <t xml:space="preserve">Office fit-out and furniture: accumulated depreciation</t>
  </si>
  <si>
    <t xml:space="preserve">Payroll taxes payable (December TSD)</t>
  </si>
  <si>
    <t xml:space="preserve">VAT payable (December return)</t>
  </si>
  <si>
    <t xml:space="preserve">Bonus provision (FY2025, incl. employer taxes)</t>
  </si>
  <si>
    <t xml:space="preserve">Bank loan</t>
  </si>
  <si>
    <t xml:space="preserve">ORIGINAL FY2026 BUDGET (APPROVED DEC-25, FICTIONAL)</t>
  </si>
  <si>
    <t xml:space="preserve">Twelve budget months at budget rates (GBP 0.87 and USD 1.17 per EUR). Hours, net revenue by stream, payroll and overhead lines are inputs as approved; everything else is calculated. Never overwritten.</t>
  </si>
  <si>
    <t xml:space="preserve">budget input</t>
  </si>
  <si>
    <t xml:space="preserve">TOTAL BILLABLE HOURS</t>
  </si>
  <si>
    <t xml:space="preserve">REVENUE AND NET REVENUE</t>
  </si>
  <si>
    <t xml:space="preserve">COSTS</t>
  </si>
  <si>
    <t xml:space="preserve">Income tax on distributions (June dividend)</t>
  </si>
  <si>
    <t xml:space="preserve">BUDGETED MONTH-END BALANCES</t>
  </si>
  <si>
    <t xml:space="preserve">budget balance</t>
  </si>
</sst>
</file>

<file path=xl/styles.xml><?xml version="1.0" encoding="utf-8"?>
<styleSheet xmlns="http://schemas.openxmlformats.org/spreadsheetml/2006/main">
  <numFmts count="18">
    <numFmt numFmtId="164" formatCode="General"/>
    <numFmt numFmtId="165" formatCode="mmm\-yy"/>
    <numFmt numFmtId="166" formatCode="@"/>
    <numFmt numFmtId="167" formatCode="#,##0;\(#,##0\);\-"/>
    <numFmt numFmtId="168" formatCode="0.0%;\(0.0%\);\-"/>
    <numFmt numFmtId="169" formatCode="0.0####"/>
    <numFmt numFmtId="170" formatCode="#,##0.00;\(#,##0.00\);\-"/>
    <numFmt numFmtId="171" formatCode="General"/>
    <numFmt numFmtId="172" formatCode="dd\-mmm\-yy"/>
    <numFmt numFmtId="173" formatCode="0"/>
    <numFmt numFmtId="174" formatCode="0.0;\(0.0\);\-"/>
    <numFmt numFmtId="175" formatCode="0%"/>
    <numFmt numFmtId="176" formatCode="0.0000"/>
    <numFmt numFmtId="177" formatCode="0.00"/>
    <numFmt numFmtId="178" formatCode="0.000"/>
    <numFmt numFmtId="179" formatCode="0.00000"/>
    <numFmt numFmtId="180" formatCode="0.00%;\(0.00%\);\-"/>
    <numFmt numFmtId="181" formatCode="0.000000"/>
  </numFmts>
  <fonts count="36">
    <font>
      <sz val="11"/>
      <color theme="1"/>
      <name val="Calibri"/>
      <family val="2"/>
      <charset val="1"/>
    </font>
    <font>
      <sz val="10"/>
      <name val="Arial"/>
      <family val="0"/>
    </font>
    <font>
      <sz val="10"/>
      <name val="Arial"/>
      <family val="0"/>
    </font>
    <font>
      <sz val="10"/>
      <name val="Arial"/>
      <family val="0"/>
    </font>
    <font>
      <b val="true"/>
      <sz val="20"/>
      <color rgb="FF032330"/>
      <name val="Arial"/>
      <family val="0"/>
      <charset val="1"/>
    </font>
    <font>
      <b val="true"/>
      <sz val="14"/>
      <color rgb="FF003B46"/>
      <name val="Arial"/>
      <family val="0"/>
      <charset val="1"/>
    </font>
    <font>
      <sz val="11"/>
      <color rgb="FF1A2B33"/>
      <name val="Arial"/>
      <family val="0"/>
      <charset val="1"/>
    </font>
    <font>
      <b val="true"/>
      <sz val="10"/>
      <color rgb="FF9C1C1C"/>
      <name val="Arial"/>
      <family val="0"/>
      <charset val="1"/>
    </font>
    <font>
      <b val="true"/>
      <sz val="10"/>
      <color rgb="FF032330"/>
      <name val="Arial"/>
      <family val="0"/>
      <charset val="1"/>
    </font>
    <font>
      <sz val="10"/>
      <color rgb="FF008000"/>
      <name val="Arial"/>
      <family val="0"/>
      <charset val="1"/>
    </font>
    <font>
      <sz val="10"/>
      <color rgb="FF1A2B33"/>
      <name val="Arial"/>
      <family val="0"/>
      <charset val="1"/>
    </font>
    <font>
      <b val="true"/>
      <sz val="10"/>
      <color rgb="FFFFFFFF"/>
      <name val="Arial"/>
      <family val="0"/>
      <charset val="1"/>
    </font>
    <font>
      <u val="single"/>
      <sz val="10"/>
      <color rgb="FF0563C1"/>
      <name val="Arial"/>
      <family val="0"/>
      <charset val="1"/>
    </font>
    <font>
      <sz val="9"/>
      <color rgb="FF1A2B33"/>
      <name val="Arial"/>
      <family val="0"/>
      <charset val="1"/>
    </font>
    <font>
      <sz val="9"/>
      <color rgb="FF5A6E77"/>
      <name val="Arial"/>
      <family val="0"/>
      <charset val="1"/>
    </font>
    <font>
      <sz val="10"/>
      <color rgb="FF0000FF"/>
      <name val="Arial"/>
      <family val="0"/>
      <charset val="1"/>
    </font>
    <font>
      <sz val="10"/>
      <color rgb="FF000000"/>
      <name val="Arial"/>
      <family val="0"/>
      <charset val="1"/>
    </font>
    <font>
      <sz val="10"/>
      <color rgb="FFFFFFFF"/>
      <name val="Arial"/>
      <family val="0"/>
      <charset val="1"/>
    </font>
    <font>
      <sz val="10"/>
      <color rgb="FF003B46"/>
      <name val="Arial"/>
      <family val="0"/>
      <charset val="1"/>
    </font>
    <font>
      <b val="true"/>
      <sz val="11"/>
      <color rgb="FF032330"/>
      <name val="Arial"/>
      <family val="0"/>
      <charset val="1"/>
    </font>
    <font>
      <b val="true"/>
      <sz val="14"/>
      <color rgb="FF032330"/>
      <name val="Arial"/>
      <family val="0"/>
      <charset val="1"/>
    </font>
    <font>
      <i val="true"/>
      <sz val="9"/>
      <color rgb="FF5A6E77"/>
      <name val="Arial"/>
      <family val="0"/>
      <charset val="1"/>
    </font>
    <font>
      <b val="true"/>
      <sz val="10"/>
      <color rgb="FF000000"/>
      <name val="Arial"/>
      <family val="0"/>
      <charset val="1"/>
    </font>
    <font>
      <b val="true"/>
      <sz val="12"/>
      <color rgb="FF032330"/>
      <name val="Arial"/>
      <family val="0"/>
      <charset val="1"/>
    </font>
    <font>
      <b val="true"/>
      <sz val="9"/>
      <color rgb="FF9C1C1C"/>
      <name val="Arial"/>
      <family val="0"/>
      <charset val="1"/>
    </font>
    <font>
      <b val="true"/>
      <sz val="11"/>
      <color rgb="FFFFFFFF"/>
      <name val="Arial"/>
      <family val="0"/>
      <charset val="1"/>
    </font>
    <font>
      <i val="true"/>
      <sz val="10"/>
      <color rgb="FF5A6E77"/>
      <name val="Arial"/>
      <family val="0"/>
      <charset val="1"/>
    </font>
    <font>
      <b val="true"/>
      <sz val="9"/>
      <color rgb="FF003B46"/>
      <name val="Arial"/>
      <family val="0"/>
      <charset val="1"/>
    </font>
    <font>
      <sz val="8"/>
      <color rgb="FF999999"/>
      <name val="Arial"/>
      <family val="0"/>
      <charset val="1"/>
    </font>
    <font>
      <i val="true"/>
      <sz val="8"/>
      <color rgb="FF5A6E77"/>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08000"/>
      <name val="Arial"/>
      <family val="0"/>
      <charset val="1"/>
    </font>
    <font>
      <sz val="10"/>
      <color rgb="FF032330"/>
      <name val="Arial"/>
      <family val="0"/>
      <charset val="1"/>
    </font>
    <font>
      <sz val="8"/>
      <color rgb="FF888888"/>
      <name val="Arial"/>
      <family val="0"/>
      <charset val="1"/>
    </font>
  </fonts>
  <fills count="9">
    <fill>
      <patternFill patternType="none"/>
    </fill>
    <fill>
      <patternFill patternType="gray125"/>
    </fill>
    <fill>
      <patternFill patternType="solid">
        <fgColor rgb="FF032330"/>
        <bgColor rgb="FF1A2B33"/>
      </patternFill>
    </fill>
    <fill>
      <patternFill patternType="solid">
        <fgColor rgb="FFFFF9E0"/>
        <bgColor rgb="FFF0F9E8"/>
      </patternFill>
    </fill>
    <fill>
      <patternFill patternType="solid">
        <fgColor rgb="FFF2F7F9"/>
        <bgColor rgb="FFF0F9E8"/>
      </patternFill>
    </fill>
    <fill>
      <patternFill patternType="solid">
        <fgColor rgb="FF003B46"/>
        <bgColor rgb="FF1A2B33"/>
      </patternFill>
    </fill>
    <fill>
      <patternFill patternType="solid">
        <fgColor rgb="FFF0F9E8"/>
        <bgColor rgb="FFF2F7F9"/>
      </patternFill>
    </fill>
    <fill>
      <patternFill patternType="solid">
        <fgColor rgb="FFEEEEEE"/>
        <bgColor rgb="FFF2F7F9"/>
      </patternFill>
    </fill>
    <fill>
      <patternFill patternType="solid">
        <fgColor rgb="FFFFFF00"/>
        <bgColor rgb="FFFFFF00"/>
      </patternFill>
    </fill>
  </fills>
  <borders count="3">
    <border diagonalUp="false" diagonalDown="false">
      <left/>
      <right/>
      <top/>
      <bottom/>
      <diagonal/>
    </border>
    <border diagonalUp="false" diagonalDown="false">
      <left/>
      <right/>
      <top style="thin">
        <color rgb="FFDDE6EA"/>
      </top>
      <bottom style="thin">
        <color rgb="FFDDE6EA"/>
      </bottom>
      <diagonal/>
    </border>
    <border diagonalUp="false" diagonalDown="false">
      <left/>
      <right/>
      <top style="thin">
        <color rgb="FFDDE6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true" indent="0" shrinkToFit="false"/>
      <protection locked="true" hidden="false"/>
    </xf>
    <xf numFmtId="166" fontId="9" fillId="0" borderId="0" xfId="0" applyFont="true" applyBorder="false" applyAlignment="true" applyProtection="false">
      <alignment horizontal="general" vertical="bottom" textRotation="0" wrapText="true" indent="0" shrinkToFit="false"/>
      <protection locked="true" hidden="false"/>
    </xf>
    <xf numFmtId="166" fontId="10" fillId="0" borderId="0" xfId="0" applyFont="true" applyBorder="fals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true" indent="0" shrinkToFit="false"/>
      <protection locked="true" hidden="false"/>
    </xf>
    <xf numFmtId="168" fontId="9" fillId="0" borderId="0" xfId="0" applyFont="true" applyBorder="false" applyAlignment="true" applyProtection="false">
      <alignment horizontal="general" vertical="bottom"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center"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4" fontId="23"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23" fillId="6" borderId="1" xfId="0" applyFont="true" applyBorder="true" applyAlignment="true" applyProtection="false">
      <alignment horizontal="center" vertical="bottom" textRotation="0" wrapText="false" indent="0" shrinkToFit="false"/>
      <protection locked="true" hidden="false"/>
    </xf>
    <xf numFmtId="167" fontId="22" fillId="0" borderId="0" xfId="0" applyFont="true" applyBorder="false" applyAlignment="false" applyProtection="false">
      <alignment horizontal="general" vertical="bottom" textRotation="0" wrapText="false" indent="0" shrinkToFit="false"/>
      <protection locked="true" hidden="false"/>
    </xf>
    <xf numFmtId="168" fontId="22"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5" borderId="0" xfId="0" applyFont="true" applyBorder="false" applyAlignment="true" applyProtection="false">
      <alignment horizontal="left" vertical="center" textRotation="0" wrapText="true" indent="0" shrinkToFit="false"/>
      <protection locked="true" hidden="false"/>
    </xf>
    <xf numFmtId="164" fontId="11" fillId="5"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71" fontId="22" fillId="0" borderId="0" xfId="0" applyFont="true" applyBorder="false" applyAlignment="true" applyProtection="false">
      <alignment horizontal="center"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2" fontId="0" fillId="0" borderId="0" xfId="0" applyFont="false" applyBorder="false" applyAlignment="true" applyProtection="false">
      <alignment horizontal="center" vertical="top" textRotation="0" wrapText="fals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5" fontId="11" fillId="2" borderId="0" xfId="0" applyFont="true" applyBorder="false" applyAlignment="true" applyProtection="false">
      <alignment horizontal="center" vertical="bottom" textRotation="0" wrapText="false" indent="0" shrinkToFit="false"/>
      <protection locked="true" hidden="false"/>
    </xf>
    <xf numFmtId="164" fontId="2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27" fillId="4"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73" fontId="28" fillId="0" borderId="0" xfId="0" applyFont="true" applyBorder="false" applyAlignment="true" applyProtection="false">
      <alignment horizontal="center"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7" fontId="22" fillId="6"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22" fillId="6"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0" fontId="22" fillId="6"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4" fontId="22" fillId="6" borderId="0" xfId="0" applyFont="true" applyBorder="false" applyAlignment="false" applyProtection="false">
      <alignment horizontal="general" vertical="bottom" textRotation="0" wrapText="false" indent="0" shrinkToFit="false"/>
      <protection locked="true" hidden="false"/>
    </xf>
    <xf numFmtId="174" fontId="9"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29" fillId="0" borderId="2" xfId="0" applyFont="true" applyBorder="true" applyAlignment="false" applyProtection="false">
      <alignment horizontal="general" vertical="bottom" textRotation="0" wrapText="false" indent="0" shrinkToFit="false"/>
      <protection locked="true" hidden="false"/>
    </xf>
    <xf numFmtId="167" fontId="22" fillId="4" borderId="2" xfId="0" applyFont="true" applyBorder="tru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74" fontId="16" fillId="0" borderId="0" xfId="0" applyFont="true" applyBorder="false" applyAlignment="false" applyProtection="false">
      <alignment horizontal="general" vertical="bottom" textRotation="0" wrapText="fals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7" fontId="33" fillId="4" borderId="2" xfId="0" applyFont="true" applyBorder="true" applyAlignment="false" applyProtection="false">
      <alignment horizontal="general" vertical="bottom" textRotation="0" wrapText="false" indent="0" shrinkToFit="false"/>
      <protection locked="true" hidden="false"/>
    </xf>
    <xf numFmtId="168" fontId="22" fillId="4" borderId="2" xfId="0" applyFont="true" applyBorder="true" applyAlignment="false" applyProtection="false">
      <alignment horizontal="general" vertical="bottom" textRotation="0" wrapText="fals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13" fillId="4" borderId="2" xfId="0" applyFont="true" applyBorder="true" applyAlignment="true" applyProtection="false">
      <alignment horizontal="general" vertical="top" textRotation="0" wrapText="tru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7" fontId="22" fillId="4" borderId="0" xfId="0" applyFont="true" applyBorder="false" applyAlignment="false" applyProtection="false">
      <alignment horizontal="general" vertical="bottom" textRotation="0" wrapText="false" indent="0" shrinkToFit="false"/>
      <protection locked="true" hidden="false"/>
    </xf>
    <xf numFmtId="174" fontId="22" fillId="4" borderId="0" xfId="0" applyFont="true" applyBorder="false" applyAlignment="false" applyProtection="false">
      <alignment horizontal="general" vertical="bottom" textRotation="0" wrapText="false" indent="0" shrinkToFit="false"/>
      <protection locked="true" hidden="false"/>
    </xf>
    <xf numFmtId="164" fontId="34" fillId="0" borderId="0" xfId="0" applyFont="true" applyBorder="false" applyAlignment="false" applyProtection="false">
      <alignment horizontal="general" vertical="bottom" textRotation="0" wrapText="fals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67" fontId="0" fillId="7" borderId="0" xfId="0" applyFont="false" applyBorder="false" applyAlignment="false" applyProtection="false">
      <alignment horizontal="general" vertical="bottom" textRotation="0" wrapText="false" indent="0" shrinkToFit="false"/>
      <protection locked="true" hidden="false"/>
    </xf>
    <xf numFmtId="167" fontId="33" fillId="0" borderId="0" xfId="0" applyFont="true" applyBorder="false" applyAlignment="false" applyProtection="false">
      <alignment horizontal="general" vertical="bottom" textRotation="0" wrapText="false" indent="0" shrinkToFit="false"/>
      <protection locked="true" hidden="false"/>
    </xf>
    <xf numFmtId="168" fontId="0" fillId="7" borderId="0" xfId="0" applyFont="false" applyBorder="false" applyAlignment="false" applyProtection="false">
      <alignment horizontal="general" vertical="bottom" textRotation="0" wrapText="false" indent="0" shrinkToFit="false"/>
      <protection locked="true" hidden="false"/>
    </xf>
    <xf numFmtId="168" fontId="33" fillId="0" borderId="0" xfId="0" applyFont="tru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5" fontId="0" fillId="7" borderId="0" xfId="0" applyFont="false" applyBorder="false" applyAlignment="false" applyProtection="false">
      <alignment horizontal="general" vertical="bottom" textRotation="0" wrapText="false" indent="0" shrinkToFit="false"/>
      <protection locked="true" hidden="false"/>
    </xf>
    <xf numFmtId="165" fontId="33" fillId="0" borderId="0" xfId="0" applyFont="true" applyBorder="false" applyAlignment="false" applyProtection="false">
      <alignment horizontal="general" vertical="bottom" textRotation="0" wrapText="false" indent="0" shrinkToFit="false"/>
      <protection locked="true" hidden="false"/>
    </xf>
    <xf numFmtId="174" fontId="0" fillId="7" borderId="0" xfId="0" applyFont="false" applyBorder="false" applyAlignment="false" applyProtection="false">
      <alignment horizontal="general" vertical="bottom" textRotation="0" wrapText="false" indent="0" shrinkToFit="false"/>
      <protection locked="true" hidden="false"/>
    </xf>
    <xf numFmtId="174" fontId="33" fillId="0" borderId="0" xfId="0" applyFont="true" applyBorder="false" applyAlignment="false" applyProtection="false">
      <alignment horizontal="general" vertical="bottom" textRotation="0" wrapText="false" indent="0" shrinkToFit="false"/>
      <protection locked="true" hidden="false"/>
    </xf>
    <xf numFmtId="177" fontId="9" fillId="0" borderId="0" xfId="0" applyFont="true" applyBorder="false" applyAlignment="false" applyProtection="false">
      <alignment horizontal="general" vertical="bottom" textRotation="0" wrapText="false" indent="0" shrinkToFit="false"/>
      <protection locked="true" hidden="false"/>
    </xf>
    <xf numFmtId="177" fontId="33" fillId="0"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73" fontId="33"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2" fontId="15" fillId="0" borderId="0" xfId="0" applyFont="true" applyBorder="false" applyAlignment="false" applyProtection="false">
      <alignment horizontal="general" vertical="bottom" textRotation="0" wrapText="false" indent="0" shrinkToFit="false"/>
      <protection locked="true" hidden="false"/>
    </xf>
    <xf numFmtId="172" fontId="16" fillId="0"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8" fontId="35" fillId="0" borderId="0" xfId="0" applyFont="true" applyBorder="false" applyAlignment="false" applyProtection="false">
      <alignment horizontal="general" vertical="bottom" textRotation="0" wrapText="false" indent="0" shrinkToFit="false"/>
      <protection locked="true" hidden="false"/>
    </xf>
    <xf numFmtId="167" fontId="15" fillId="3" borderId="0" xfId="0" applyFont="true" applyBorder="false" applyAlignment="false" applyProtection="false">
      <alignment horizontal="general" vertical="bottom" textRotation="0" wrapText="false" indent="0" shrinkToFit="false"/>
      <protection locked="true" hidden="false"/>
    </xf>
    <xf numFmtId="178" fontId="0" fillId="0" borderId="0" xfId="0" applyFont="false" applyBorder="false" applyAlignment="false" applyProtection="false">
      <alignment horizontal="general" vertical="bottom" textRotation="0" wrapText="false" indent="0" shrinkToFit="false"/>
      <protection locked="true" hidden="false"/>
    </xf>
    <xf numFmtId="164" fontId="29" fillId="4" borderId="2" xfId="0" applyFont="true" applyBorder="true" applyAlignment="false" applyProtection="false">
      <alignment horizontal="general" vertical="bottom" textRotation="0" wrapText="false" indent="0" shrinkToFit="false"/>
      <protection locked="true" hidden="false"/>
    </xf>
    <xf numFmtId="167" fontId="0" fillId="4" borderId="2" xfId="0" applyFont="false" applyBorder="true" applyAlignment="false" applyProtection="false">
      <alignment horizontal="general" vertical="bottom" textRotation="0" wrapText="false" indent="0" shrinkToFit="false"/>
      <protection locked="true" hidden="false"/>
    </xf>
    <xf numFmtId="167" fontId="9" fillId="4" borderId="2" xfId="0" applyFont="true" applyBorder="true" applyAlignment="false" applyProtection="false">
      <alignment horizontal="general" vertical="bottom" textRotation="0" wrapText="false" indent="0" shrinkToFit="false"/>
      <protection locked="true" hidden="false"/>
    </xf>
    <xf numFmtId="172" fontId="22"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77" fontId="22" fillId="6" borderId="0" xfId="0" applyFont="true" applyBorder="false" applyAlignment="false" applyProtection="false">
      <alignment horizontal="general" vertical="bottom" textRotation="0" wrapText="false" indent="0" shrinkToFit="false"/>
      <protection locked="tru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8" fontId="9" fillId="0" borderId="0" xfId="0" applyFont="true" applyBorder="false" applyAlignment="false" applyProtection="false">
      <alignment horizontal="general" vertical="bottom" textRotation="0" wrapText="false" indent="0" shrinkToFit="false"/>
      <protection locked="true" hidden="false"/>
    </xf>
    <xf numFmtId="178" fontId="16" fillId="0" borderId="0" xfId="0" applyFont="true" applyBorder="false" applyAlignment="false" applyProtection="false">
      <alignment horizontal="general" vertical="bottom" textRotation="0" wrapText="false" indent="0" shrinkToFit="false"/>
      <protection locked="true" hidden="false"/>
    </xf>
    <xf numFmtId="174" fontId="22" fillId="4" borderId="2" xfId="0" applyFont="true" applyBorder="true" applyAlignment="false" applyProtection="false">
      <alignment horizontal="general" vertical="bottom" textRotation="0" wrapText="false" indent="0" shrinkToFit="false"/>
      <protection locked="true" hidden="false"/>
    </xf>
    <xf numFmtId="178" fontId="22" fillId="6" borderId="0" xfId="0" applyFont="tru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73" fontId="15" fillId="3" borderId="0" xfId="0" applyFont="true" applyBorder="false" applyAlignment="false" applyProtection="false">
      <alignment horizontal="general" vertical="bottom" textRotation="0" wrapText="false" indent="0" shrinkToFit="false"/>
      <protection locked="true" hidden="false"/>
    </xf>
    <xf numFmtId="174" fontId="22" fillId="0" borderId="0" xfId="0" applyFont="true" applyBorder="false" applyAlignment="false" applyProtection="false">
      <alignment horizontal="general" vertical="bottom" textRotation="0" wrapText="false" indent="0" shrinkToFit="false"/>
      <protection locked="true" hidden="false"/>
    </xf>
    <xf numFmtId="179" fontId="22" fillId="6" borderId="0" xfId="0" applyFont="true" applyBorder="false" applyAlignment="false" applyProtection="false">
      <alignment horizontal="general" vertical="bottom" textRotation="0" wrapText="false" indent="0" shrinkToFit="false"/>
      <protection locked="true" hidden="false"/>
    </xf>
    <xf numFmtId="179" fontId="9" fillId="0" borderId="0" xfId="0" applyFont="true" applyBorder="false" applyAlignment="false" applyProtection="false">
      <alignment horizontal="general" vertical="bottom" textRotation="0" wrapText="false" indent="0" shrinkToFit="false"/>
      <protection locked="true" hidden="false"/>
    </xf>
    <xf numFmtId="176" fontId="22" fillId="6" borderId="0" xfId="0" applyFont="true" applyBorder="false" applyAlignment="false" applyProtection="false">
      <alignment horizontal="general" vertical="bottom" textRotation="0" wrapText="fals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72" fontId="33" fillId="0" borderId="0" xfId="0" applyFont="true" applyBorder="false" applyAlignment="false" applyProtection="false">
      <alignment horizontal="general" vertical="bottom" textRotation="0" wrapText="false" indent="0" shrinkToFit="false"/>
      <protection locked="true" hidden="false"/>
    </xf>
    <xf numFmtId="176" fontId="33" fillId="0" borderId="0" xfId="0" applyFont="true" applyBorder="false" applyAlignment="false" applyProtection="false">
      <alignment horizontal="general" vertical="bottom" textRotation="0" wrapText="false" indent="0" shrinkToFit="false"/>
      <protection locked="true" hidden="false"/>
    </xf>
    <xf numFmtId="170" fontId="15" fillId="3" borderId="0" xfId="0" applyFont="true" applyBorder="false" applyAlignment="false" applyProtection="false">
      <alignment horizontal="general" vertical="bottom" textRotation="0" wrapText="false" indent="0" shrinkToFit="false"/>
      <protection locked="true" hidden="false"/>
    </xf>
    <xf numFmtId="172" fontId="15" fillId="3" borderId="0" xfId="0" applyFont="tru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8" fontId="15" fillId="3"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false" applyProtection="false">
      <alignment horizontal="general" vertical="bottom" textRotation="0" wrapText="false" indent="0" shrinkToFit="false"/>
      <protection locked="true" hidden="false"/>
    </xf>
    <xf numFmtId="173" fontId="16" fillId="0" borderId="0" xfId="0" applyFont="true" applyBorder="false" applyAlignment="false" applyProtection="false">
      <alignment horizontal="general" vertical="bottom" textRotation="0" wrapText="false" indent="0" shrinkToFit="false"/>
      <protection locked="true" hidden="false"/>
    </xf>
    <xf numFmtId="174" fontId="15" fillId="3" borderId="0" xfId="0" applyFont="true" applyBorder="false" applyAlignment="false" applyProtection="false">
      <alignment horizontal="general" vertical="bottom" textRotation="0" wrapText="false" indent="0" shrinkToFit="false"/>
      <protection locked="true" hidden="false"/>
    </xf>
    <xf numFmtId="176" fontId="16"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73" fontId="15" fillId="8" borderId="0" xfId="0" applyFont="true" applyBorder="false" applyAlignment="false" applyProtection="false">
      <alignment horizontal="general" vertical="bottom" textRotation="0" wrapText="false" indent="0"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76" fontId="15" fillId="3" borderId="0" xfId="0" applyFont="true" applyBorder="false" applyAlignment="false" applyProtection="false">
      <alignment horizontal="general" vertical="bottom" textRotation="0" wrapText="false" indent="0" shrinkToFit="false"/>
      <protection locked="true" hidden="false"/>
    </xf>
    <xf numFmtId="180" fontId="15" fillId="3" borderId="0" xfId="0" applyFont="true" applyBorder="false" applyAlignment="false" applyProtection="false">
      <alignment horizontal="general" vertical="bottom" textRotation="0" wrapText="false" indent="0" shrinkToFit="false"/>
      <protection locked="true" hidden="false"/>
    </xf>
    <xf numFmtId="170" fontId="22" fillId="0" borderId="0" xfId="0" applyFont="true" applyBorder="false" applyAlignment="false" applyProtection="false">
      <alignment horizontal="general" vertical="bottom" textRotation="0" wrapText="false" indent="0" shrinkToFit="false"/>
      <protection locked="true" hidden="false"/>
    </xf>
    <xf numFmtId="179" fontId="15" fillId="3" borderId="0" xfId="0" applyFont="true" applyBorder="false" applyAlignment="false" applyProtection="false">
      <alignment horizontal="general" vertical="bottom" textRotation="0" wrapText="false" indent="0" shrinkToFit="false"/>
      <protection locked="true" hidden="false"/>
    </xf>
    <xf numFmtId="181"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73"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78" fontId="0" fillId="0" borderId="0" xfId="0" applyFont="false" applyBorder="false" applyAlignment="true" applyProtection="false">
      <alignment horizontal="center" vertical="bottom" textRotation="0" wrapText="false" indent="0" shrinkToFit="false"/>
      <protection locked="true" hidden="false"/>
    </xf>
    <xf numFmtId="173" fontId="15" fillId="3" borderId="0" xfId="0" applyFont="true" applyBorder="false" applyAlignment="true" applyProtection="false">
      <alignment horizontal="center" vertical="bottom" textRotation="0" wrapText="false" indent="0" shrinkToFit="false"/>
      <protection locked="true" hidden="false"/>
    </xf>
    <xf numFmtId="177" fontId="15" fillId="3" borderId="0" xfId="0" applyFont="true" applyBorder="false" applyAlignment="true" applyProtection="false">
      <alignment horizontal="center" vertical="bottom" textRotation="0" wrapText="false" indent="0" shrinkToFit="false"/>
      <protection locked="true" hidden="false"/>
    </xf>
    <xf numFmtId="177" fontId="0" fillId="0" borderId="0" xfId="0" applyFont="false" applyBorder="false" applyAlignment="true" applyProtection="false">
      <alignment horizontal="center" vertical="bottom" textRotation="0" wrapText="false" indent="0" shrinkToFit="false"/>
      <protection locked="true" hidden="false"/>
    </xf>
    <xf numFmtId="177" fontId="15" fillId="3" borderId="0" xfId="0" applyFont="true" applyBorder="false" applyAlignment="false" applyProtection="false">
      <alignment horizontal="general" vertical="bottom" textRotation="0" wrapText="false" indent="0" shrinkToFit="false"/>
      <protection locked="true" hidden="false"/>
    </xf>
    <xf numFmtId="173" fontId="22" fillId="6" borderId="0" xfId="0" applyFont="true" applyBorder="false" applyAlignment="false" applyProtection="false">
      <alignment horizontal="general" vertical="bottom" textRotation="0" wrapText="false" indent="0" shrinkToFit="false"/>
      <protection locked="true" hidden="false"/>
    </xf>
    <xf numFmtId="165" fontId="22" fillId="6"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A6E77"/>
      <rgbColor rgb="FF800080"/>
      <rgbColor rgb="FF008080"/>
      <rgbColor rgb="FF9BBB59"/>
      <rgbColor rgb="FF878787"/>
      <rgbColor rgb="FF888888"/>
      <rgbColor rgb="FFBE4B48"/>
      <rgbColor rgb="FFFFF9E0"/>
      <rgbColor rgb="FFF0F9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7F9"/>
      <rgbColor rgb="FFDDE6EA"/>
      <rgbColor rgb="FFEEEEEE"/>
      <rgbColor rgb="FF99CCFF"/>
      <rgbColor rgb="FFFF99CC"/>
      <rgbColor rgb="FFCC99FF"/>
      <rgbColor rgb="FFFFCC99"/>
      <rgbColor rgb="FF4A7EBB"/>
      <rgbColor rgb="FF33CCCC"/>
      <rgbColor rgb="FF98B855"/>
      <rgbColor rgb="FFFFCC00"/>
      <rgbColor rgb="FFFF9900"/>
      <rgbColor rgb="FFFF6600"/>
      <rgbColor rgb="FF7D5FA0"/>
      <rgbColor rgb="FF999999"/>
      <rgbColor rgb="FF003B46"/>
      <rgbColor rgb="FF4F81BD"/>
      <rgbColor rgb="FF032330"/>
      <rgbColor rgb="FF333300"/>
      <rgbColor rgb="FF9C1C1C"/>
      <rgbColor rgb="FFC0504D"/>
      <rgbColor rgb="FF8064A2"/>
      <rgbColor rgb="FF1A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worksheet" Target="worksheets/sheet33.xml"/><Relationship Id="rId3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revenue by stream (EUR)</a:t>
            </a:r>
          </a:p>
        </c:rich>
      </c:tx>
      <c:overlay val="0"/>
      <c:spPr>
        <a:noFill/>
        <a:ln w="0">
          <a:noFill/>
        </a:ln>
      </c:spPr>
    </c:title>
    <c:autoTitleDeleted val="0"/>
    <c:plotArea>
      <c:barChart>
        <c:barDir val="col"/>
        <c:grouping val="stacked"/>
        <c:varyColors val="0"/>
        <c:ser>
          <c:idx val="0"/>
          <c:order val="0"/>
          <c:tx>
            <c:strRef>
              <c:f>"Retainers"</c:f>
              <c:strCache>
                <c:ptCount val="1"/>
                <c:pt idx="0">
                  <c:v>Retainers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PL!$E$9:$AB$9</c:f>
              <c:numCache>
                <c:formatCode>#,##0;\(#,##0\);\-</c:formatCode>
                <c:ptCount val="24"/>
                <c:pt idx="0">
                  <c:v>166561.248867628</c:v>
                </c:pt>
                <c:pt idx="1">
                  <c:v>166356.523501859</c:v>
                </c:pt>
                <c:pt idx="2">
                  <c:v>166419.453048656</c:v>
                </c:pt>
                <c:pt idx="3">
                  <c:v>189372.816871897</c:v>
                </c:pt>
                <c:pt idx="4">
                  <c:v>189228.218401487</c:v>
                </c:pt>
                <c:pt idx="5">
                  <c:v>203178.680723191</c:v>
                </c:pt>
                <c:pt idx="6">
                  <c:v>204071.873019969</c:v>
                </c:pt>
                <c:pt idx="7">
                  <c:v>204099.420516524</c:v>
                </c:pt>
                <c:pt idx="8">
                  <c:v>203902.323617329</c:v>
                </c:pt>
                <c:pt idx="9">
                  <c:v>190402.323617329</c:v>
                </c:pt>
                <c:pt idx="10">
                  <c:v>190402.323617329</c:v>
                </c:pt>
                <c:pt idx="11">
                  <c:v>190402.323617329</c:v>
                </c:pt>
                <c:pt idx="12">
                  <c:v>195930.81327296</c:v>
                </c:pt>
                <c:pt idx="13">
                  <c:v>195930.81327296</c:v>
                </c:pt>
                <c:pt idx="14">
                  <c:v>198510.063786691</c:v>
                </c:pt>
                <c:pt idx="15">
                  <c:v>200354.219404554</c:v>
                </c:pt>
                <c:pt idx="16">
                  <c:v>200354.219404554</c:v>
                </c:pt>
                <c:pt idx="17">
                  <c:v>206969.668685331</c:v>
                </c:pt>
                <c:pt idx="18">
                  <c:v>205017.522622351</c:v>
                </c:pt>
                <c:pt idx="19">
                  <c:v>205017.522622351</c:v>
                </c:pt>
                <c:pt idx="20">
                  <c:v>205017.522622351</c:v>
                </c:pt>
                <c:pt idx="21">
                  <c:v>203993.522622351</c:v>
                </c:pt>
                <c:pt idx="22">
                  <c:v>203993.522622351</c:v>
                </c:pt>
                <c:pt idx="23">
                  <c:v>203993.522622351</c:v>
                </c:pt>
              </c:numCache>
            </c:numRef>
          </c:val>
        </c:ser>
        <c:ser>
          <c:idx val="1"/>
          <c:order val="1"/>
          <c:tx>
            <c:strRef>
              <c:f>"Projects"</c:f>
              <c:strCache>
                <c:ptCount val="1"/>
                <c:pt idx="0">
                  <c:v>Projects</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PL!$E$10:$AB$10</c:f>
              <c:numCache>
                <c:formatCode>#,##0;\(#,##0\);\-</c:formatCode>
                <c:ptCount val="24"/>
                <c:pt idx="0">
                  <c:v>65395.6810282954</c:v>
                </c:pt>
                <c:pt idx="1">
                  <c:v>48189.0689359823</c:v>
                </c:pt>
                <c:pt idx="2">
                  <c:v>52798.0914178011</c:v>
                </c:pt>
                <c:pt idx="3">
                  <c:v>55499.693047527</c:v>
                </c:pt>
                <c:pt idx="4">
                  <c:v>72634.8355769181</c:v>
                </c:pt>
                <c:pt idx="5">
                  <c:v>92439.7807570272</c:v>
                </c:pt>
                <c:pt idx="6">
                  <c:v>102218.25228808</c:v>
                </c:pt>
                <c:pt idx="7">
                  <c:v>110529.650012757</c:v>
                </c:pt>
                <c:pt idx="8">
                  <c:v>112632.340644591</c:v>
                </c:pt>
                <c:pt idx="9">
                  <c:v>95895.3276070448</c:v>
                </c:pt>
                <c:pt idx="10">
                  <c:v>72764.8417499574</c:v>
                </c:pt>
                <c:pt idx="11">
                  <c:v>45788.9162770048</c:v>
                </c:pt>
                <c:pt idx="12">
                  <c:v>45480.786787909</c:v>
                </c:pt>
                <c:pt idx="13">
                  <c:v>73409.4199568794</c:v>
                </c:pt>
                <c:pt idx="14">
                  <c:v>92024.0322904626</c:v>
                </c:pt>
                <c:pt idx="15">
                  <c:v>105942.431395032</c:v>
                </c:pt>
                <c:pt idx="16">
                  <c:v>104931.701220352</c:v>
                </c:pt>
                <c:pt idx="17">
                  <c:v>91547.0012722563</c:v>
                </c:pt>
                <c:pt idx="18">
                  <c:v>94950.0125390796</c:v>
                </c:pt>
                <c:pt idx="19">
                  <c:v>80868.7350208222</c:v>
                </c:pt>
                <c:pt idx="20">
                  <c:v>60384</c:v>
                </c:pt>
                <c:pt idx="21">
                  <c:v>71808</c:v>
                </c:pt>
                <c:pt idx="22">
                  <c:v>71808</c:v>
                </c:pt>
                <c:pt idx="23">
                  <c:v>60384</c:v>
                </c:pt>
              </c:numCache>
            </c:numRef>
          </c:val>
        </c:ser>
        <c:ser>
          <c:idx val="2"/>
          <c:order val="2"/>
          <c:tx>
            <c:strRef>
              <c:f>"Time and materials"</c:f>
              <c:strCache>
                <c:ptCount val="1"/>
                <c:pt idx="0">
                  <c:v>Time and materials</c:v>
                </c:pt>
              </c:strCache>
            </c:strRef>
          </c:tx>
          <c:spPr>
            <a:solidFill>
              <a:srgbClr val="9bbb59"/>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PL!$E$11:$AB$11</c:f>
              <c:numCache>
                <c:formatCode>#,##0;\(#,##0\);\-</c:formatCode>
                <c:ptCount val="24"/>
                <c:pt idx="0">
                  <c:v>33303.6009937888</c:v>
                </c:pt>
                <c:pt idx="1">
                  <c:v>29595.2242180775</c:v>
                </c:pt>
                <c:pt idx="2">
                  <c:v>40155.6619710883</c:v>
                </c:pt>
                <c:pt idx="3">
                  <c:v>36895.952516344</c:v>
                </c:pt>
                <c:pt idx="4">
                  <c:v>37446.0124364862</c:v>
                </c:pt>
                <c:pt idx="5">
                  <c:v>38717.0875130133</c:v>
                </c:pt>
                <c:pt idx="6">
                  <c:v>29519.8270160116</c:v>
                </c:pt>
                <c:pt idx="7">
                  <c:v>38965.4465714686</c:v>
                </c:pt>
                <c:pt idx="8">
                  <c:v>42096.9537938565</c:v>
                </c:pt>
                <c:pt idx="9">
                  <c:v>50101.0552098872</c:v>
                </c:pt>
                <c:pt idx="10">
                  <c:v>46435.1243408711</c:v>
                </c:pt>
                <c:pt idx="11">
                  <c:v>37270.2971683307</c:v>
                </c:pt>
                <c:pt idx="12">
                  <c:v>48292.5293145059</c:v>
                </c:pt>
                <c:pt idx="13">
                  <c:v>46386.2452626175</c:v>
                </c:pt>
                <c:pt idx="14">
                  <c:v>50198.8133663943</c:v>
                </c:pt>
                <c:pt idx="15">
                  <c:v>47657.1012972098</c:v>
                </c:pt>
                <c:pt idx="16">
                  <c:v>47657.1012972098</c:v>
                </c:pt>
                <c:pt idx="17">
                  <c:v>43844.533193433</c:v>
                </c:pt>
                <c:pt idx="18">
                  <c:v>35583.9689685833</c:v>
                </c:pt>
                <c:pt idx="19">
                  <c:v>43209.1051761369</c:v>
                </c:pt>
                <c:pt idx="20">
                  <c:v>50198.8133663943</c:v>
                </c:pt>
                <c:pt idx="21">
                  <c:v>52105.0974182827</c:v>
                </c:pt>
                <c:pt idx="22">
                  <c:v>48292.5293145059</c:v>
                </c:pt>
                <c:pt idx="23">
                  <c:v>38761.109055064</c:v>
                </c:pt>
              </c:numCache>
            </c:numRef>
          </c:val>
        </c:ser>
        <c:ser>
          <c:idx val="3"/>
          <c:order val="3"/>
          <c:tx>
            <c:strRef>
              <c:f>"Media fees"</c:f>
              <c:strCache>
                <c:ptCount val="1"/>
                <c:pt idx="0">
                  <c:v>Media fees</c:v>
                </c:pt>
              </c:strCache>
            </c:strRef>
          </c:tx>
          <c:spPr>
            <a:solidFill>
              <a:srgbClr val="8064a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PL!$E$12:$AB$12</c:f>
              <c:numCache>
                <c:formatCode>#,##0;\(#,##0\);\-</c:formatCode>
                <c:ptCount val="24"/>
                <c:pt idx="0">
                  <c:v>19530.4067272156</c:v>
                </c:pt>
                <c:pt idx="1">
                  <c:v>19335.026841061</c:v>
                </c:pt>
                <c:pt idx="2">
                  <c:v>21595.50157138</c:v>
                </c:pt>
                <c:pt idx="3">
                  <c:v>23771.4365009715</c:v>
                </c:pt>
                <c:pt idx="4">
                  <c:v>23099.434037206</c:v>
                </c:pt>
                <c:pt idx="5">
                  <c:v>22018.8784102158</c:v>
                </c:pt>
                <c:pt idx="6">
                  <c:v>21094.5727899577</c:v>
                </c:pt>
                <c:pt idx="7">
                  <c:v>22676.7916777673</c:v>
                </c:pt>
                <c:pt idx="8">
                  <c:v>23046.8000283793</c:v>
                </c:pt>
                <c:pt idx="9">
                  <c:v>25351.4800312172</c:v>
                </c:pt>
                <c:pt idx="10">
                  <c:v>31113.1800383121</c:v>
                </c:pt>
                <c:pt idx="11">
                  <c:v>27656.1600340552</c:v>
                </c:pt>
                <c:pt idx="12">
                  <c:v>19477.5800241224</c:v>
                </c:pt>
                <c:pt idx="13">
                  <c:v>19477.5800241224</c:v>
                </c:pt>
                <c:pt idx="14">
                  <c:v>21341.5600269603</c:v>
                </c:pt>
                <c:pt idx="15">
                  <c:v>21822.6367554482</c:v>
                </c:pt>
                <c:pt idx="16">
                  <c:v>21822.6367554482</c:v>
                </c:pt>
                <c:pt idx="17">
                  <c:v>20731.5049176758</c:v>
                </c:pt>
                <c:pt idx="18">
                  <c:v>17955.5020217102</c:v>
                </c:pt>
                <c:pt idx="19">
                  <c:v>19011.7080229872</c:v>
                </c:pt>
                <c:pt idx="20">
                  <c:v>21124.1200255414</c:v>
                </c:pt>
                <c:pt idx="21">
                  <c:v>22796.5320280955</c:v>
                </c:pt>
                <c:pt idx="22">
                  <c:v>27977.5620344809</c:v>
                </c:pt>
                <c:pt idx="23">
                  <c:v>24868.9440306497</c:v>
                </c:pt>
              </c:numCache>
            </c:numRef>
          </c:val>
        </c:ser>
        <c:gapWidth val="150"/>
        <c:overlap val="100"/>
        <c:axId val="15587992"/>
        <c:axId val="83341431"/>
      </c:barChart>
      <c:catAx>
        <c:axId val="15587992"/>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3341431"/>
        <c:crosses val="autoZero"/>
        <c:auto val="1"/>
        <c:lblAlgn val="ctr"/>
        <c:lblOffset val="100"/>
        <c:noMultiLvlLbl val="0"/>
      </c:catAx>
      <c:valAx>
        <c:axId val="8334143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58799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Delivery contribution and EBITDA % of net revenue</a:t>
            </a:r>
          </a:p>
        </c:rich>
      </c:tx>
      <c:overlay val="0"/>
      <c:spPr>
        <a:noFill/>
        <a:ln w="0">
          <a:noFill/>
        </a:ln>
      </c:spPr>
    </c:title>
    <c:autoTitleDeleted val="0"/>
    <c:plotArea>
      <c:lineChart>
        <c:grouping val="standard"/>
        <c:varyColors val="0"/>
        <c:ser>
          <c:idx val="0"/>
          <c:order val="0"/>
          <c:tx>
            <c:strRef>
              <c:f>"Delivery contribution %"</c:f>
              <c:strCache>
                <c:ptCount val="1"/>
                <c:pt idx="0">
                  <c:v>Delivery contribution %</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PL!$E$23:$AB$23</c:f>
              <c:numCache>
                <c:formatCode>0.0%;\(0.0%\);\-</c:formatCode>
                <c:ptCount val="24"/>
                <c:pt idx="0">
                  <c:v>0.356781702631287</c:v>
                </c:pt>
                <c:pt idx="1">
                  <c:v>0.304367172461103</c:v>
                </c:pt>
                <c:pt idx="2">
                  <c:v>0.339875883993073</c:v>
                </c:pt>
                <c:pt idx="3">
                  <c:v>0.368461976090555</c:v>
                </c:pt>
                <c:pt idx="4">
                  <c:v>0.432701892960247</c:v>
                </c:pt>
                <c:pt idx="5">
                  <c:v>0.430836520040278</c:v>
                </c:pt>
                <c:pt idx="6">
                  <c:v>0.321205458626394</c:v>
                </c:pt>
                <c:pt idx="7">
                  <c:v>0.425953311500552</c:v>
                </c:pt>
                <c:pt idx="8">
                  <c:v>0.494975955044813</c:v>
                </c:pt>
                <c:pt idx="9">
                  <c:v>0.466928428020911</c:v>
                </c:pt>
                <c:pt idx="10">
                  <c:v>0.41945462292083</c:v>
                </c:pt>
                <c:pt idx="11">
                  <c:v>0.341775158227118</c:v>
                </c:pt>
                <c:pt idx="12">
                  <c:v>0.318872204765867</c:v>
                </c:pt>
                <c:pt idx="13">
                  <c:v>0.371749086267152</c:v>
                </c:pt>
                <c:pt idx="14">
                  <c:v>0.412348890654576</c:v>
                </c:pt>
                <c:pt idx="15">
                  <c:v>0.433776389464259</c:v>
                </c:pt>
                <c:pt idx="16">
                  <c:v>0.432249303736063</c:v>
                </c:pt>
                <c:pt idx="17">
                  <c:v>0.413996869334694</c:v>
                </c:pt>
                <c:pt idx="18">
                  <c:v>0.352183916991107</c:v>
                </c:pt>
                <c:pt idx="19">
                  <c:v>0.388770061075857</c:v>
                </c:pt>
                <c:pt idx="20">
                  <c:v>0.368108078134449</c:v>
                </c:pt>
                <c:pt idx="21">
                  <c:v>0.393294692691267</c:v>
                </c:pt>
                <c:pt idx="22">
                  <c:v>0.395652886496775</c:v>
                </c:pt>
                <c:pt idx="23">
                  <c:v>0.351315398156006</c:v>
                </c:pt>
              </c:numCache>
            </c:numRef>
          </c:val>
          <c:smooth val="1"/>
        </c:ser>
        <c:ser>
          <c:idx val="1"/>
          <c:order val="1"/>
          <c:tx>
            <c:strRef>
              <c:f>"EBITDA %"</c:f>
              <c:strCache>
                <c:ptCount val="1"/>
                <c:pt idx="0">
                  <c:v>EBITDA %</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PL!$E$41:$AB$41</c:f>
              <c:numCache>
                <c:formatCode>0.0%;\(0.0%\);\-</c:formatCode>
                <c:ptCount val="24"/>
                <c:pt idx="0">
                  <c:v>0.0885926280802709</c:v>
                </c:pt>
                <c:pt idx="1">
                  <c:v>-0.00238863758691124</c:v>
                </c:pt>
                <c:pt idx="2">
                  <c:v>0.0339109738463197</c:v>
                </c:pt>
                <c:pt idx="3">
                  <c:v>0.10096076729778</c:v>
                </c:pt>
                <c:pt idx="4">
                  <c:v>0.166634959303995</c:v>
                </c:pt>
                <c:pt idx="5">
                  <c:v>0.189960030233631</c:v>
                </c:pt>
                <c:pt idx="6">
                  <c:v>0.101289635182699</c:v>
                </c:pt>
                <c:pt idx="7">
                  <c:v>0.224065505890578</c:v>
                </c:pt>
                <c:pt idx="8">
                  <c:v>0.286613419979527</c:v>
                </c:pt>
                <c:pt idx="9">
                  <c:v>0.234189419560375</c:v>
                </c:pt>
                <c:pt idx="10">
                  <c:v>0.17195274528966</c:v>
                </c:pt>
                <c:pt idx="11">
                  <c:v>0.0756548401796556</c:v>
                </c:pt>
                <c:pt idx="12">
                  <c:v>0.042239158882853</c:v>
                </c:pt>
                <c:pt idx="13">
                  <c:v>0.122632538060533</c:v>
                </c:pt>
                <c:pt idx="14">
                  <c:v>0.176447313535901</c:v>
                </c:pt>
                <c:pt idx="15">
                  <c:v>0.177412722026975</c:v>
                </c:pt>
                <c:pt idx="16">
                  <c:v>0.187201735859754</c:v>
                </c:pt>
                <c:pt idx="17">
                  <c:v>0.161071346068264</c:v>
                </c:pt>
                <c:pt idx="18">
                  <c:v>0.0924000609871769</c:v>
                </c:pt>
                <c:pt idx="19">
                  <c:v>0.124956364444271</c:v>
                </c:pt>
                <c:pt idx="20">
                  <c:v>0.095376437939585</c:v>
                </c:pt>
                <c:pt idx="21">
                  <c:v>0.131433877808992</c:v>
                </c:pt>
                <c:pt idx="22">
                  <c:v>0.134809894508286</c:v>
                </c:pt>
                <c:pt idx="23">
                  <c:v>0.0713358489512161</c:v>
                </c:pt>
              </c:numCache>
            </c:numRef>
          </c:val>
          <c:smooth val="1"/>
        </c:ser>
        <c:hiLowLines>
          <c:spPr>
            <a:ln w="0">
              <a:noFill/>
            </a:ln>
          </c:spPr>
        </c:hiLowLines>
        <c:marker val="0"/>
        <c:axId val="42406852"/>
        <c:axId val="102383"/>
      </c:lineChart>
      <c:catAx>
        <c:axId val="42406852"/>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2383"/>
        <c:crosses val="autoZero"/>
        <c:auto val="1"/>
        <c:lblAlgn val="ctr"/>
        <c:lblOffset val="100"/>
        <c:noMultiLvlLbl val="0"/>
      </c:catAx>
      <c:valAx>
        <c:axId val="10238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40685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Utilisation and realisation</a:t>
            </a:r>
          </a:p>
        </c:rich>
      </c:tx>
      <c:overlay val="0"/>
      <c:spPr>
        <a:noFill/>
        <a:ln w="0">
          <a:noFill/>
        </a:ln>
      </c:spPr>
    </c:title>
    <c:autoTitleDeleted val="0"/>
    <c:plotArea>
      <c:lineChart>
        <c:grouping val="standard"/>
        <c:varyColors val="0"/>
        <c:ser>
          <c:idx val="0"/>
          <c:order val="0"/>
          <c:tx>
            <c:strRef>
              <c:f>"Utilisation"</c:f>
              <c:strCache>
                <c:ptCount val="1"/>
                <c:pt idx="0">
                  <c:v>Utilisation</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Utilisation!$E$78:$AB$78</c:f>
              <c:numCache>
                <c:formatCode>0.0%;\(0.0%\);\-</c:formatCode>
                <c:ptCount val="24"/>
                <c:pt idx="0">
                  <c:v>0.624601275917065</c:v>
                </c:pt>
                <c:pt idx="1">
                  <c:v>0.607804068078041</c:v>
                </c:pt>
                <c:pt idx="2">
                  <c:v>0.595339470655926</c:v>
                </c:pt>
                <c:pt idx="3">
                  <c:v>0.654372549019608</c:v>
                </c:pt>
                <c:pt idx="4">
                  <c:v>0.743229166666667</c:v>
                </c:pt>
                <c:pt idx="5">
                  <c:v>0.825022644927536</c:v>
                </c:pt>
                <c:pt idx="6">
                  <c:v>0.856628787878788</c:v>
                </c:pt>
                <c:pt idx="7">
                  <c:v>0.823484848484848</c:v>
                </c:pt>
                <c:pt idx="8">
                  <c:v>0.754549751708751</c:v>
                </c:pt>
                <c:pt idx="9">
                  <c:v>0.665355628566298</c:v>
                </c:pt>
                <c:pt idx="10">
                  <c:v>0.645875557100141</c:v>
                </c:pt>
                <c:pt idx="11">
                  <c:v>0.729380681477569</c:v>
                </c:pt>
                <c:pt idx="12">
                  <c:v>0.602455359932064</c:v>
                </c:pt>
                <c:pt idx="13">
                  <c:v>0.67273815447319</c:v>
                </c:pt>
                <c:pt idx="14">
                  <c:v>0.653562987344379</c:v>
                </c:pt>
                <c:pt idx="15">
                  <c:v>0.706210114254937</c:v>
                </c:pt>
                <c:pt idx="16">
                  <c:v>0.702849189623412</c:v>
                </c:pt>
                <c:pt idx="17">
                  <c:v>0.742279694739845</c:v>
                </c:pt>
                <c:pt idx="18">
                  <c:v>0.838639120117528</c:v>
                </c:pt>
                <c:pt idx="19">
                  <c:v>0.728492834374402</c:v>
                </c:pt>
                <c:pt idx="20">
                  <c:v>0.60683746012372</c:v>
                </c:pt>
                <c:pt idx="21">
                  <c:v>0.603805446959757</c:v>
                </c:pt>
                <c:pt idx="22">
                  <c:v>0.644023958728323</c:v>
                </c:pt>
                <c:pt idx="23">
                  <c:v>0.754153093152327</c:v>
                </c:pt>
              </c:numCache>
            </c:numRef>
          </c:val>
          <c:smooth val="1"/>
        </c:ser>
        <c:ser>
          <c:idx val="1"/>
          <c:order val="1"/>
          <c:tx>
            <c:strRef>
              <c:f>"Realisation"</c:f>
              <c:strCache>
                <c:ptCount val="1"/>
                <c:pt idx="0">
                  <c:v>Realisation</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Utilisation!$E$81:$AB$81</c:f>
              <c:numCache>
                <c:formatCode>0.0%;\(0.0%\);\-</c:formatCode>
                <c:ptCount val="24"/>
                <c:pt idx="0">
                  <c:v>0.852254989031965</c:v>
                </c:pt>
                <c:pt idx="1">
                  <c:v>0.844396846745852</c:v>
                </c:pt>
                <c:pt idx="2">
                  <c:v>0.848363749833101</c:v>
                </c:pt>
                <c:pt idx="3">
                  <c:v>0.855802183130243</c:v>
                </c:pt>
                <c:pt idx="4">
                  <c:v>0.844147920015316</c:v>
                </c:pt>
                <c:pt idx="5">
                  <c:v>0.84155586266486</c:v>
                </c:pt>
                <c:pt idx="6">
                  <c:v>0.840864222915529</c:v>
                </c:pt>
                <c:pt idx="7">
                  <c:v>0.855613907331873</c:v>
                </c:pt>
                <c:pt idx="8">
                  <c:v>0.887766125908819</c:v>
                </c:pt>
                <c:pt idx="9">
                  <c:v>0.909357877245054</c:v>
                </c:pt>
                <c:pt idx="10">
                  <c:v>0.925830556560943</c:v>
                </c:pt>
                <c:pt idx="11">
                  <c:v>0.904383645970326</c:v>
                </c:pt>
                <c:pt idx="12">
                  <c:v>0.854857576709199</c:v>
                </c:pt>
                <c:pt idx="13">
                  <c:v>0.863382077272944</c:v>
                </c:pt>
                <c:pt idx="14">
                  <c:v>0.876602602278997</c:v>
                </c:pt>
                <c:pt idx="15">
                  <c:v>0.887159747673883</c:v>
                </c:pt>
                <c:pt idx="16">
                  <c:v>0.889056107738407</c:v>
                </c:pt>
                <c:pt idx="17">
                  <c:v>0.887776520584582</c:v>
                </c:pt>
                <c:pt idx="18">
                  <c:v>0.883707502437917</c:v>
                </c:pt>
                <c:pt idx="19">
                  <c:v>0.880385984751969</c:v>
                </c:pt>
                <c:pt idx="20">
                  <c:v>0.880128688704547</c:v>
                </c:pt>
                <c:pt idx="21">
                  <c:v>0.886864557528236</c:v>
                </c:pt>
                <c:pt idx="22">
                  <c:v>0.900906279509427</c:v>
                </c:pt>
                <c:pt idx="23">
                  <c:v>0.89417608502576</c:v>
                </c:pt>
              </c:numCache>
            </c:numRef>
          </c:val>
          <c:smooth val="1"/>
        </c:ser>
        <c:hiLowLines>
          <c:spPr>
            <a:ln w="0">
              <a:noFill/>
            </a:ln>
          </c:spPr>
        </c:hiLowLines>
        <c:marker val="0"/>
        <c:axId val="23015934"/>
        <c:axId val="35026632"/>
      </c:lineChart>
      <c:catAx>
        <c:axId val="23015934"/>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026632"/>
        <c:crosses val="autoZero"/>
        <c:auto val="1"/>
        <c:lblAlgn val="ctr"/>
        <c:lblOffset val="100"/>
        <c:noMultiLvlLbl val="0"/>
      </c:catAx>
      <c:valAx>
        <c:axId val="3502663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01593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vs receivables and contract balances (EUR)</a:t>
            </a:r>
          </a:p>
        </c:rich>
      </c:tx>
      <c:overlay val="0"/>
      <c:spPr>
        <a:noFill/>
        <a:ln w="0">
          <a:noFill/>
        </a:ln>
      </c:spPr>
    </c:title>
    <c:autoTitleDeleted val="0"/>
    <c:plotArea>
      <c:lineChart>
        <c:grouping val="standard"/>
        <c:varyColors val="0"/>
        <c:ser>
          <c:idx val="0"/>
          <c:order val="0"/>
          <c:tx>
            <c:strRef>
              <c:f>"Cash"</c:f>
              <c:strCache>
                <c:ptCount val="1"/>
                <c:pt idx="0">
                  <c:v>Cash</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BS!$E$9:$AB$9</c:f>
              <c:numCache>
                <c:formatCode>#,##0;\(#,##0\);\-</c:formatCode>
                <c:ptCount val="24"/>
                <c:pt idx="0">
                  <c:v>492554.930452003</c:v>
                </c:pt>
                <c:pt idx="1">
                  <c:v>675877.630201207</c:v>
                </c:pt>
                <c:pt idx="2">
                  <c:v>579312.207110502</c:v>
                </c:pt>
                <c:pt idx="3">
                  <c:v>520521.050925958</c:v>
                </c:pt>
                <c:pt idx="4">
                  <c:v>600557.830127967</c:v>
                </c:pt>
                <c:pt idx="5">
                  <c:v>272487.475298423</c:v>
                </c:pt>
                <c:pt idx="6">
                  <c:v>278163.984952918</c:v>
                </c:pt>
                <c:pt idx="7">
                  <c:v>367888.049343681</c:v>
                </c:pt>
                <c:pt idx="8">
                  <c:v>339326.23945676</c:v>
                </c:pt>
                <c:pt idx="9">
                  <c:v>420682.10876628</c:v>
                </c:pt>
                <c:pt idx="10">
                  <c:v>567960.487507797</c:v>
                </c:pt>
                <c:pt idx="11">
                  <c:v>612534.28302922</c:v>
                </c:pt>
                <c:pt idx="12">
                  <c:v>640194.160743273</c:v>
                </c:pt>
                <c:pt idx="13">
                  <c:v>794311.648770999</c:v>
                </c:pt>
                <c:pt idx="14">
                  <c:v>644595.941040873</c:v>
                </c:pt>
                <c:pt idx="15">
                  <c:v>637777.3005996</c:v>
                </c:pt>
                <c:pt idx="16">
                  <c:v>748210.612073758</c:v>
                </c:pt>
                <c:pt idx="17">
                  <c:v>566846.179586067</c:v>
                </c:pt>
                <c:pt idx="18">
                  <c:v>562787.447927986</c:v>
                </c:pt>
                <c:pt idx="19">
                  <c:v>664145.73036141</c:v>
                </c:pt>
                <c:pt idx="20">
                  <c:v>682973.572795325</c:v>
                </c:pt>
                <c:pt idx="21">
                  <c:v>712826.722637955</c:v>
                </c:pt>
                <c:pt idx="22">
                  <c:v>810264.260740604</c:v>
                </c:pt>
                <c:pt idx="23">
                  <c:v>803759.860565172</c:v>
                </c:pt>
              </c:numCache>
            </c:numRef>
          </c:val>
          <c:smooth val="1"/>
        </c:ser>
        <c:ser>
          <c:idx val="1"/>
          <c:order val="1"/>
          <c:tx>
            <c:strRef>
              <c:f>"Trade receivables"</c:f>
              <c:strCache>
                <c:ptCount val="1"/>
                <c:pt idx="0">
                  <c:v>Trade receivables</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BS!$E$10:$AB$10</c:f>
              <c:numCache>
                <c:formatCode>#,##0;\(#,##0\);\-</c:formatCode>
                <c:ptCount val="24"/>
                <c:pt idx="0">
                  <c:v>698829.936501559</c:v>
                </c:pt>
                <c:pt idx="1">
                  <c:v>520386.602036567</c:v>
                </c:pt>
                <c:pt idx="2">
                  <c:v>580461.475679056</c:v>
                </c:pt>
                <c:pt idx="3">
                  <c:v>694432.631999395</c:v>
                </c:pt>
                <c:pt idx="4">
                  <c:v>601638.54274672</c:v>
                </c:pt>
                <c:pt idx="5">
                  <c:v>725543.805194138</c:v>
                </c:pt>
                <c:pt idx="6">
                  <c:v>696742.661471203</c:v>
                </c:pt>
                <c:pt idx="7">
                  <c:v>599808.501254837</c:v>
                </c:pt>
                <c:pt idx="8">
                  <c:v>740559.197338345</c:v>
                </c:pt>
                <c:pt idx="9">
                  <c:v>842156.379453653</c:v>
                </c:pt>
                <c:pt idx="10">
                  <c:v>826109.183863469</c:v>
                </c:pt>
                <c:pt idx="11">
                  <c:v>746044.201855481</c:v>
                </c:pt>
                <c:pt idx="12">
                  <c:v>739282.833832739</c:v>
                </c:pt>
                <c:pt idx="13">
                  <c:v>588010.830574087</c:v>
                </c:pt>
                <c:pt idx="14">
                  <c:v>673746.030957654</c:v>
                </c:pt>
                <c:pt idx="15">
                  <c:v>749387.019036319</c:v>
                </c:pt>
                <c:pt idx="16">
                  <c:v>688652.420755715</c:v>
                </c:pt>
                <c:pt idx="17">
                  <c:v>686019.766109174</c:v>
                </c:pt>
                <c:pt idx="18">
                  <c:v>688647.927723385</c:v>
                </c:pt>
                <c:pt idx="19">
                  <c:v>622812.27908262</c:v>
                </c:pt>
                <c:pt idx="20">
                  <c:v>646595.251030203</c:v>
                </c:pt>
                <c:pt idx="21">
                  <c:v>737302.0185679</c:v>
                </c:pt>
                <c:pt idx="22">
                  <c:v>709504.938389329</c:v>
                </c:pt>
                <c:pt idx="23">
                  <c:v>712579.461517762</c:v>
                </c:pt>
              </c:numCache>
            </c:numRef>
          </c:val>
          <c:smooth val="1"/>
        </c:ser>
        <c:ser>
          <c:idx val="2"/>
          <c:order val="2"/>
          <c:tx>
            <c:strRef>
              <c:f>"Contract assets"</c:f>
              <c:strCache>
                <c:ptCount val="1"/>
                <c:pt idx="0">
                  <c:v>Contract assets</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BS!$E$11:$AB$11</c:f>
              <c:numCache>
                <c:formatCode>#,##0;\(#,##0\);\-</c:formatCode>
                <c:ptCount val="24"/>
                <c:pt idx="0">
                  <c:v>56471.5504363888</c:v>
                </c:pt>
                <c:pt idx="1">
                  <c:v>71124.6722720529</c:v>
                </c:pt>
                <c:pt idx="2">
                  <c:v>75450.8687273272</c:v>
                </c:pt>
                <c:pt idx="3">
                  <c:v>36916.5417460318</c:v>
                </c:pt>
                <c:pt idx="4">
                  <c:v>66622.8947716695</c:v>
                </c:pt>
                <c:pt idx="5">
                  <c:v>38781.8119406345</c:v>
                </c:pt>
                <c:pt idx="6">
                  <c:v>79499.3444115147</c:v>
                </c:pt>
                <c:pt idx="7">
                  <c:v>137974.464873232</c:v>
                </c:pt>
                <c:pt idx="8">
                  <c:v>116118.753141561</c:v>
                </c:pt>
                <c:pt idx="9">
                  <c:v>104947.879250426</c:v>
                </c:pt>
                <c:pt idx="10">
                  <c:v>71110.9435888876</c:v>
                </c:pt>
                <c:pt idx="11">
                  <c:v>44314.0471683307</c:v>
                </c:pt>
                <c:pt idx="12">
                  <c:v>62090.3906459996</c:v>
                </c:pt>
                <c:pt idx="13">
                  <c:v>59804.9207190329</c:v>
                </c:pt>
                <c:pt idx="14">
                  <c:v>65785.2863519704</c:v>
                </c:pt>
                <c:pt idx="15">
                  <c:v>58146.8460195229</c:v>
                </c:pt>
                <c:pt idx="16">
                  <c:v>65965.1012972098</c:v>
                </c:pt>
                <c:pt idx="17">
                  <c:v>56817.7897433761</c:v>
                </c:pt>
                <c:pt idx="18">
                  <c:v>71699.238057606</c:v>
                </c:pt>
                <c:pt idx="19">
                  <c:v>53817.1051761368</c:v>
                </c:pt>
                <c:pt idx="20">
                  <c:v>50198.8133663943</c:v>
                </c:pt>
                <c:pt idx="21">
                  <c:v>52105.0974182827</c:v>
                </c:pt>
                <c:pt idx="22">
                  <c:v>58900.5293145059</c:v>
                </c:pt>
                <c:pt idx="23">
                  <c:v>38761.109055064</c:v>
                </c:pt>
              </c:numCache>
            </c:numRef>
          </c:val>
          <c:smooth val="1"/>
        </c:ser>
        <c:ser>
          <c:idx val="3"/>
          <c:order val="3"/>
          <c:tx>
            <c:strRef>
              <c:f>"Contract liabilities"</c:f>
              <c:strCache>
                <c:ptCount val="1"/>
                <c:pt idx="0">
                  <c:v>Contract liabilities</c:v>
                </c:pt>
              </c:strCache>
            </c:strRef>
          </c:tx>
          <c:spPr>
            <a:solidFill>
              <a:srgbClr val="7d5fa0"/>
            </a:solidFill>
            <a:ln w="28440">
              <a:solidFill>
                <a:srgbClr val="7d5fa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Assumptions!$E$98:$AB$98</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BS!$E$22:$AB$22</c:f>
              <c:numCache>
                <c:formatCode>#,##0;\(#,##0\);\-</c:formatCode>
                <c:ptCount val="24"/>
                <c:pt idx="0">
                  <c:v>68030.4779496652</c:v>
                </c:pt>
                <c:pt idx="1">
                  <c:v>80699.3230402578</c:v>
                </c:pt>
                <c:pt idx="2">
                  <c:v>71738.6281231405</c:v>
                </c:pt>
                <c:pt idx="3">
                  <c:v>88889.4266295053</c:v>
                </c:pt>
                <c:pt idx="4">
                  <c:v>55026.4496154423</c:v>
                </c:pt>
                <c:pt idx="5">
                  <c:v>45288.2197937035</c:v>
                </c:pt>
                <c:pt idx="6">
                  <c:v>89828.5440501093</c:v>
                </c:pt>
                <c:pt idx="7">
                  <c:v>33513.5438072109</c:v>
                </c:pt>
                <c:pt idx="8">
                  <c:v>20016.2605720231</c:v>
                </c:pt>
                <c:pt idx="9">
                  <c:v>74070.8376144218</c:v>
                </c:pt>
                <c:pt idx="10">
                  <c:v>49100.016792787</c:v>
                </c:pt>
                <c:pt idx="11">
                  <c:v>2810.67545641537</c:v>
                </c:pt>
                <c:pt idx="12">
                  <c:v>107011.087614422</c:v>
                </c:pt>
                <c:pt idx="13">
                  <c:v>60930.6647480855</c:v>
                </c:pt>
                <c:pt idx="14">
                  <c:v>30710.8861795727</c:v>
                </c:pt>
                <c:pt idx="15">
                  <c:v>66353.8725256173</c:v>
                </c:pt>
                <c:pt idx="16">
                  <c:v>42882.4217258626</c:v>
                </c:pt>
                <c:pt idx="17">
                  <c:v>10608</c:v>
                </c:pt>
                <c:pt idx="18">
                  <c:v>64785.3540070988</c:v>
                </c:pt>
                <c:pt idx="19">
                  <c:v>32392.6770035494</c:v>
                </c:pt>
                <c:pt idx="20">
                  <c:v>10608</c:v>
                </c:pt>
                <c:pt idx="21">
                  <c:v>62737.3540070988</c:v>
                </c:pt>
                <c:pt idx="22">
                  <c:v>31368.6770035494</c:v>
                </c:pt>
                <c:pt idx="23">
                  <c:v>10608</c:v>
                </c:pt>
              </c:numCache>
            </c:numRef>
          </c:val>
          <c:smooth val="1"/>
        </c:ser>
        <c:hiLowLines>
          <c:spPr>
            <a:ln w="0">
              <a:noFill/>
            </a:ln>
          </c:spPr>
        </c:hiLowLines>
        <c:marker val="0"/>
        <c:axId val="19589963"/>
        <c:axId val="17095225"/>
      </c:lineChart>
      <c:catAx>
        <c:axId val="19589963"/>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095225"/>
        <c:crosses val="autoZero"/>
        <c:auto val="1"/>
        <c:lblAlgn val="ctr"/>
        <c:lblOffset val="100"/>
        <c:noMultiLvlLbl val="0"/>
      </c:catAx>
      <c:valAx>
        <c:axId val="1709522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58996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39</xdr:row>
      <xdr:rowOff>160920</xdr:rowOff>
    </xdr:from>
    <xdr:to>
      <xdr:col>4</xdr:col>
      <xdr:colOff>730080</xdr:colOff>
      <xdr:row>54</xdr:row>
      <xdr:rowOff>2880</xdr:rowOff>
    </xdr:to>
    <xdr:graphicFrame>
      <xdr:nvGraphicFramePr>
        <xdr:cNvPr id="0" name="Chart 1"/>
        <xdr:cNvGraphicFramePr/>
      </xdr:nvGraphicFramePr>
      <xdr:xfrm>
        <a:off x="0" y="7620120"/>
        <a:ext cx="79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55</xdr:row>
      <xdr:rowOff>160560</xdr:rowOff>
    </xdr:from>
    <xdr:to>
      <xdr:col>4</xdr:col>
      <xdr:colOff>730080</xdr:colOff>
      <xdr:row>70</xdr:row>
      <xdr:rowOff>2520</xdr:rowOff>
    </xdr:to>
    <xdr:graphicFrame>
      <xdr:nvGraphicFramePr>
        <xdr:cNvPr id="1" name="Chart 2"/>
        <xdr:cNvGraphicFramePr/>
      </xdr:nvGraphicFramePr>
      <xdr:xfrm>
        <a:off x="0" y="10667880"/>
        <a:ext cx="791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71</xdr:row>
      <xdr:rowOff>160560</xdr:rowOff>
    </xdr:from>
    <xdr:to>
      <xdr:col>4</xdr:col>
      <xdr:colOff>730080</xdr:colOff>
      <xdr:row>86</xdr:row>
      <xdr:rowOff>2880</xdr:rowOff>
    </xdr:to>
    <xdr:graphicFrame>
      <xdr:nvGraphicFramePr>
        <xdr:cNvPr id="2" name="Chart 3"/>
        <xdr:cNvGraphicFramePr/>
      </xdr:nvGraphicFramePr>
      <xdr:xfrm>
        <a:off x="0" y="13716000"/>
        <a:ext cx="791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87</xdr:row>
      <xdr:rowOff>160920</xdr:rowOff>
    </xdr:from>
    <xdr:to>
      <xdr:col>4</xdr:col>
      <xdr:colOff>730080</xdr:colOff>
      <xdr:row>102</xdr:row>
      <xdr:rowOff>2880</xdr:rowOff>
    </xdr:to>
    <xdr:graphicFrame>
      <xdr:nvGraphicFramePr>
        <xdr:cNvPr id="3" name="Chart 4"/>
        <xdr:cNvGraphicFramePr/>
      </xdr:nvGraphicFramePr>
      <xdr:xfrm>
        <a:off x="0" y="16764120"/>
        <a:ext cx="7919640" cy="269964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final.xlsx" TargetMode="External"/><Relationship Id="rId2" Type="http://schemas.openxmlformats.org/officeDocument/2006/relationships/hyperlink" Target="final.xlsx" TargetMode="External"/><Relationship Id="rId3" Type="http://schemas.openxmlformats.org/officeDocument/2006/relationships/hyperlink" Target="final.xlsx" TargetMode="External"/><Relationship Id="rId4" Type="http://schemas.openxmlformats.org/officeDocument/2006/relationships/hyperlink" Target="final.xlsx" TargetMode="External"/><Relationship Id="rId5" Type="http://schemas.openxmlformats.org/officeDocument/2006/relationships/hyperlink" Target="final.xlsx" TargetMode="External"/><Relationship Id="rId6" Type="http://schemas.openxmlformats.org/officeDocument/2006/relationships/hyperlink" Target="final.xlsx" TargetMode="External"/><Relationship Id="rId7" Type="http://schemas.openxmlformats.org/officeDocument/2006/relationships/hyperlink" Target="final.xlsx" TargetMode="External"/><Relationship Id="rId8" Type="http://schemas.openxmlformats.org/officeDocument/2006/relationships/hyperlink" Target="final.xlsx" TargetMode="External"/><Relationship Id="rId9" Type="http://schemas.openxmlformats.org/officeDocument/2006/relationships/hyperlink" Target="final.xlsx" TargetMode="External"/><Relationship Id="rId10" Type="http://schemas.openxmlformats.org/officeDocument/2006/relationships/hyperlink" Target="final.xlsx" TargetMode="External"/><Relationship Id="rId11" Type="http://schemas.openxmlformats.org/officeDocument/2006/relationships/hyperlink" Target="final.xlsx" TargetMode="External"/><Relationship Id="rId12" Type="http://schemas.openxmlformats.org/officeDocument/2006/relationships/hyperlink" Target="final.xlsx" TargetMode="External"/><Relationship Id="rId13" Type="http://schemas.openxmlformats.org/officeDocument/2006/relationships/hyperlink" Target="final.xlsx" TargetMode="External"/><Relationship Id="rId14" Type="http://schemas.openxmlformats.org/officeDocument/2006/relationships/hyperlink" Target="final.xlsx" TargetMode="External"/><Relationship Id="rId15" Type="http://schemas.openxmlformats.org/officeDocument/2006/relationships/hyperlink" Target="final.xlsx" TargetMode="External"/><Relationship Id="rId16" Type="http://schemas.openxmlformats.org/officeDocument/2006/relationships/hyperlink" Target="final.xlsx" TargetMode="External"/><Relationship Id="rId17" Type="http://schemas.openxmlformats.org/officeDocument/2006/relationships/hyperlink" Target="final.xlsx" TargetMode="External"/><Relationship Id="rId18" Type="http://schemas.openxmlformats.org/officeDocument/2006/relationships/hyperlink" Target="final.xlsx" TargetMode="External"/><Relationship Id="rId19" Type="http://schemas.openxmlformats.org/officeDocument/2006/relationships/hyperlink" Target="final.xlsx" TargetMode="External"/><Relationship Id="rId20" Type="http://schemas.openxmlformats.org/officeDocument/2006/relationships/hyperlink" Target="final.xlsx" TargetMode="External"/><Relationship Id="rId21" Type="http://schemas.openxmlformats.org/officeDocument/2006/relationships/hyperlink" Target="final.xlsx" TargetMode="External"/><Relationship Id="rId22" Type="http://schemas.openxmlformats.org/officeDocument/2006/relationships/hyperlink" Target="final.xlsx" TargetMode="External"/><Relationship Id="rId23" Type="http://schemas.openxmlformats.org/officeDocument/2006/relationships/hyperlink" Target="final.xlsx" TargetMode="External"/><Relationship Id="rId24" Type="http://schemas.openxmlformats.org/officeDocument/2006/relationships/hyperlink" Target="final.xlsx" TargetMode="External"/><Relationship Id="rId25" Type="http://schemas.openxmlformats.org/officeDocument/2006/relationships/hyperlink" Target="final.xlsx" TargetMode="External"/><Relationship Id="rId26" Type="http://schemas.openxmlformats.org/officeDocument/2006/relationships/hyperlink" Target="final.xlsx" TargetMode="External"/><Relationship Id="rId27" Type="http://schemas.openxmlformats.org/officeDocument/2006/relationships/hyperlink" Target="final.xlsx" TargetMode="External"/><Relationship Id="rId28" Type="http://schemas.openxmlformats.org/officeDocument/2006/relationships/hyperlink" Target="final.xlsx" TargetMode="External"/><Relationship Id="rId29" Type="http://schemas.openxmlformats.org/officeDocument/2006/relationships/hyperlink" Target="final.xlsx" TargetMode="External"/><Relationship Id="rId30" Type="http://schemas.openxmlformats.org/officeDocument/2006/relationships/hyperlink" Target="final.xlsx" TargetMode="External"/><Relationship Id="rId31" Type="http://schemas.openxmlformats.org/officeDocument/2006/relationships/hyperlink" Target="final.xlsx" TargetMode="External"/><Relationship Id="rId32" Type="http://schemas.openxmlformats.org/officeDocument/2006/relationships/hyperlink" Target="final.xlsx" TargetMode="External"/><Relationship Id="rId33" Type="http://schemas.openxmlformats.org/officeDocument/2006/relationships/hyperlink" Target="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3" min="3" style="0" width="96"/>
    <col collapsed="false" customWidth="true" hidden="false" outlineLevel="0" max="5" min="4" style="0" width="12"/>
  </cols>
  <sheetData>
    <row r="2" customFormat="false" ht="24.45" hidden="false" customHeight="false" outlineLevel="0" collapsed="false">
      <c r="B2" s="1" t="str">
        <f aca="false">Assumptions!$C$6</f>
        <v>Kaldmere Studio OÜ (fictional demonstration company)</v>
      </c>
    </row>
    <row r="3" customFormat="false" ht="17.35" hidden="false" customHeight="false" outlineLevel="0" collapsed="false">
      <c r="B3" s="2" t="s">
        <v>0</v>
      </c>
    </row>
    <row r="4" customFormat="false" ht="15" hidden="false" customHeight="false" outlineLevel="0" collapsed="false">
      <c r="B4" s="3" t="s">
        <v>1</v>
      </c>
    </row>
    <row r="6" customFormat="false" ht="78" hidden="false" customHeight="true" outlineLevel="0" collapsed="false">
      <c r="B6" s="4" t="s">
        <v>2</v>
      </c>
      <c r="C6" s="4"/>
      <c r="D6" s="4"/>
      <c r="E6" s="4"/>
    </row>
    <row r="8" customFormat="false" ht="15" hidden="false" customHeight="false" outlineLevel="0" collapsed="false">
      <c r="B8" s="5" t="s">
        <v>3</v>
      </c>
      <c r="C8" s="6" t="n">
        <f aca="false">Assumptions!$C$9</f>
        <v>46265</v>
      </c>
    </row>
    <row r="9" customFormat="false" ht="15" hidden="false" customHeight="false" outlineLevel="0" collapsed="false">
      <c r="B9" s="5" t="s">
        <v>4</v>
      </c>
      <c r="C9" s="7" t="str">
        <f aca="false">"Sep-26 to Dec-27 ("&amp;Assumptions!$C$12&amp;" scenario selected)"</f>
        <v>Sep-26 to Dec-27 (Base scenario selected)</v>
      </c>
    </row>
    <row r="10" customFormat="false" ht="15" hidden="false" customHeight="false" outlineLevel="0" collapsed="false">
      <c r="B10" s="5" t="s">
        <v>5</v>
      </c>
      <c r="C10" s="8" t="s">
        <v>6</v>
      </c>
    </row>
    <row r="11" customFormat="false" ht="15" hidden="false" customHeight="false" outlineLevel="0" collapsed="false">
      <c r="B11" s="5" t="s">
        <v>7</v>
      </c>
      <c r="C11" s="7" t="str">
        <f aca="false">Checks!E46</f>
        <v>OK</v>
      </c>
    </row>
    <row r="12" customFormat="false" ht="15" hidden="false" customHeight="false" outlineLevel="0" collapsed="false">
      <c r="B12" s="5" t="s">
        <v>8</v>
      </c>
      <c r="C12" s="9" t="n">
        <f aca="false">PL!$C$16</f>
        <v>3937675.92120047</v>
      </c>
    </row>
    <row r="13" customFormat="false" ht="15" hidden="false" customHeight="false" outlineLevel="0" collapsed="false">
      <c r="B13" s="5" t="s">
        <v>9</v>
      </c>
      <c r="C13" s="9" t="n">
        <f aca="false">PL!$C$40</f>
        <v>583450.501326207</v>
      </c>
    </row>
    <row r="14" customFormat="false" ht="15" hidden="false" customHeight="false" outlineLevel="0" collapsed="false">
      <c r="B14" s="5" t="s">
        <v>10</v>
      </c>
      <c r="C14" s="10" t="n">
        <f aca="false">Utilisation!$C$78</f>
        <v>0.703809191823938</v>
      </c>
    </row>
    <row r="15" customFormat="false" ht="15" hidden="false" customHeight="false" outlineLevel="0" collapsed="false">
      <c r="B15" s="5" t="s">
        <v>11</v>
      </c>
      <c r="C15" s="9" t="n">
        <f aca="false">INDEX(BS!$E$9:$AB$9,Assumptions!$C$10)</f>
        <v>367888.049343681</v>
      </c>
    </row>
    <row r="16" customFormat="false" ht="15" hidden="false" customHeight="false" outlineLevel="0" collapsed="false">
      <c r="B16" s="5" t="s">
        <v>12</v>
      </c>
      <c r="C16" s="9" t="n">
        <f aca="false">Cash_13W!C61</f>
        <v>374003.25546433</v>
      </c>
    </row>
    <row r="17" customFormat="false" ht="23.85" hidden="false" customHeight="false" outlineLevel="0" collapsed="false">
      <c r="B17" s="5" t="s">
        <v>13</v>
      </c>
      <c r="C17" s="8" t="s">
        <v>14</v>
      </c>
    </row>
    <row r="19" customFormat="false" ht="15" hidden="false" customHeight="false" outlineLevel="0" collapsed="false">
      <c r="B19" s="11" t="s">
        <v>15</v>
      </c>
      <c r="C19" s="11" t="s">
        <v>16</v>
      </c>
      <c r="D19" s="11" t="s">
        <v>17</v>
      </c>
    </row>
    <row r="20" customFormat="false" ht="15" hidden="false" customHeight="false" outlineLevel="0" collapsed="false">
      <c r="B20" s="12" t="s">
        <v>18</v>
      </c>
      <c r="C20" s="13" t="s">
        <v>19</v>
      </c>
      <c r="D20" s="14" t="s">
        <v>20</v>
      </c>
    </row>
    <row r="21" customFormat="false" ht="15" hidden="false" customHeight="false" outlineLevel="0" collapsed="false">
      <c r="B21" s="12" t="s">
        <v>21</v>
      </c>
      <c r="C21" s="13" t="s">
        <v>22</v>
      </c>
      <c r="D21" s="14" t="s">
        <v>20</v>
      </c>
    </row>
    <row r="22" customFormat="false" ht="15" hidden="false" customHeight="false" outlineLevel="0" collapsed="false">
      <c r="B22" s="12" t="s">
        <v>23</v>
      </c>
      <c r="C22" s="13" t="s">
        <v>24</v>
      </c>
      <c r="D22" s="14" t="s">
        <v>25</v>
      </c>
    </row>
    <row r="23" customFormat="false" ht="15" hidden="false" customHeight="false" outlineLevel="0" collapsed="false">
      <c r="B23" s="12" t="s">
        <v>26</v>
      </c>
      <c r="C23" s="13" t="s">
        <v>27</v>
      </c>
      <c r="D23" s="14" t="s">
        <v>20</v>
      </c>
    </row>
    <row r="24" customFormat="false" ht="15" hidden="false" customHeight="false" outlineLevel="0" collapsed="false">
      <c r="B24" s="12" t="s">
        <v>28</v>
      </c>
      <c r="C24" s="13" t="s">
        <v>29</v>
      </c>
      <c r="D24" s="14" t="s">
        <v>20</v>
      </c>
    </row>
    <row r="25" customFormat="false" ht="15" hidden="false" customHeight="false" outlineLevel="0" collapsed="false">
      <c r="B25" s="12" t="s">
        <v>30</v>
      </c>
      <c r="C25" s="13" t="s">
        <v>31</v>
      </c>
      <c r="D25" s="14" t="s">
        <v>32</v>
      </c>
    </row>
    <row r="26" customFormat="false" ht="15" hidden="false" customHeight="false" outlineLevel="0" collapsed="false">
      <c r="B26" s="12" t="s">
        <v>33</v>
      </c>
      <c r="C26" s="13" t="s">
        <v>34</v>
      </c>
      <c r="D26" s="14" t="s">
        <v>32</v>
      </c>
    </row>
    <row r="27" customFormat="false" ht="15" hidden="false" customHeight="false" outlineLevel="0" collapsed="false">
      <c r="B27" s="12" t="s">
        <v>35</v>
      </c>
      <c r="C27" s="13" t="s">
        <v>36</v>
      </c>
      <c r="D27" s="14" t="s">
        <v>32</v>
      </c>
    </row>
    <row r="28" customFormat="false" ht="15" hidden="false" customHeight="false" outlineLevel="0" collapsed="false">
      <c r="B28" s="12" t="s">
        <v>37</v>
      </c>
      <c r="C28" s="13" t="s">
        <v>38</v>
      </c>
      <c r="D28" s="14" t="s">
        <v>39</v>
      </c>
    </row>
    <row r="29" customFormat="false" ht="15" hidden="false" customHeight="false" outlineLevel="0" collapsed="false">
      <c r="B29" s="12" t="s">
        <v>40</v>
      </c>
      <c r="C29" s="13" t="s">
        <v>41</v>
      </c>
      <c r="D29" s="14" t="s">
        <v>39</v>
      </c>
    </row>
    <row r="30" customFormat="false" ht="15" hidden="false" customHeight="false" outlineLevel="0" collapsed="false">
      <c r="B30" s="12" t="s">
        <v>42</v>
      </c>
      <c r="C30" s="13" t="s">
        <v>43</v>
      </c>
      <c r="D30" s="14" t="s">
        <v>39</v>
      </c>
    </row>
    <row r="31" customFormat="false" ht="15" hidden="false" customHeight="false" outlineLevel="0" collapsed="false">
      <c r="B31" s="12" t="s">
        <v>44</v>
      </c>
      <c r="C31" s="13" t="s">
        <v>45</v>
      </c>
      <c r="D31" s="14" t="s">
        <v>39</v>
      </c>
    </row>
    <row r="32" customFormat="false" ht="15" hidden="false" customHeight="false" outlineLevel="0" collapsed="false">
      <c r="B32" s="12" t="s">
        <v>46</v>
      </c>
      <c r="C32" s="13" t="s">
        <v>47</v>
      </c>
      <c r="D32" s="14" t="s">
        <v>48</v>
      </c>
    </row>
    <row r="33" customFormat="false" ht="15" hidden="false" customHeight="false" outlineLevel="0" collapsed="false">
      <c r="B33" s="12" t="s">
        <v>49</v>
      </c>
      <c r="C33" s="13" t="s">
        <v>50</v>
      </c>
      <c r="D33" s="14" t="s">
        <v>48</v>
      </c>
    </row>
    <row r="34" customFormat="false" ht="15" hidden="false" customHeight="false" outlineLevel="0" collapsed="false">
      <c r="B34" s="12" t="s">
        <v>51</v>
      </c>
      <c r="C34" s="13" t="s">
        <v>52</v>
      </c>
      <c r="D34" s="14" t="s">
        <v>48</v>
      </c>
    </row>
    <row r="35" customFormat="false" ht="15" hidden="false" customHeight="false" outlineLevel="0" collapsed="false">
      <c r="B35" s="12" t="s">
        <v>53</v>
      </c>
      <c r="C35" s="13" t="s">
        <v>54</v>
      </c>
      <c r="D35" s="14" t="s">
        <v>48</v>
      </c>
    </row>
    <row r="36" customFormat="false" ht="15" hidden="false" customHeight="false" outlineLevel="0" collapsed="false">
      <c r="B36" s="12" t="s">
        <v>55</v>
      </c>
      <c r="C36" s="13" t="s">
        <v>56</v>
      </c>
      <c r="D36" s="14" t="s">
        <v>48</v>
      </c>
    </row>
    <row r="37" customFormat="false" ht="15" hidden="false" customHeight="false" outlineLevel="0" collapsed="false">
      <c r="B37" s="12" t="s">
        <v>57</v>
      </c>
      <c r="C37" s="13" t="s">
        <v>58</v>
      </c>
      <c r="D37" s="14" t="s">
        <v>48</v>
      </c>
    </row>
    <row r="38" customFormat="false" ht="15" hidden="false" customHeight="false" outlineLevel="0" collapsed="false">
      <c r="B38" s="12" t="s">
        <v>59</v>
      </c>
      <c r="C38" s="13" t="s">
        <v>60</v>
      </c>
      <c r="D38" s="14" t="s">
        <v>48</v>
      </c>
    </row>
    <row r="39" customFormat="false" ht="15" hidden="false" customHeight="false" outlineLevel="0" collapsed="false">
      <c r="B39" s="12" t="s">
        <v>61</v>
      </c>
      <c r="C39" s="13" t="s">
        <v>62</v>
      </c>
      <c r="D39" s="14" t="s">
        <v>48</v>
      </c>
    </row>
    <row r="40" customFormat="false" ht="15" hidden="false" customHeight="false" outlineLevel="0" collapsed="false">
      <c r="B40" s="12" t="s">
        <v>63</v>
      </c>
      <c r="C40" s="13" t="s">
        <v>64</v>
      </c>
      <c r="D40" s="14" t="s">
        <v>48</v>
      </c>
    </row>
    <row r="41" customFormat="false" ht="15" hidden="false" customHeight="false" outlineLevel="0" collapsed="false">
      <c r="B41" s="12" t="s">
        <v>65</v>
      </c>
      <c r="C41" s="13" t="s">
        <v>66</v>
      </c>
      <c r="D41" s="14" t="s">
        <v>48</v>
      </c>
    </row>
    <row r="42" customFormat="false" ht="15" hidden="false" customHeight="false" outlineLevel="0" collapsed="false">
      <c r="B42" s="12" t="s">
        <v>67</v>
      </c>
      <c r="C42" s="13" t="s">
        <v>68</v>
      </c>
      <c r="D42" s="14" t="s">
        <v>48</v>
      </c>
    </row>
    <row r="43" customFormat="false" ht="15" hidden="false" customHeight="false" outlineLevel="0" collapsed="false">
      <c r="B43" s="12" t="s">
        <v>69</v>
      </c>
      <c r="C43" s="13" t="s">
        <v>70</v>
      </c>
      <c r="D43" s="14" t="s">
        <v>48</v>
      </c>
    </row>
    <row r="44" customFormat="false" ht="15" hidden="false" customHeight="false" outlineLevel="0" collapsed="false">
      <c r="B44" s="12" t="s">
        <v>71</v>
      </c>
      <c r="C44" s="13" t="s">
        <v>72</v>
      </c>
      <c r="D44" s="14" t="s">
        <v>48</v>
      </c>
    </row>
    <row r="45" customFormat="false" ht="15" hidden="false" customHeight="false" outlineLevel="0" collapsed="false">
      <c r="B45" s="12" t="s">
        <v>73</v>
      </c>
      <c r="C45" s="13" t="s">
        <v>74</v>
      </c>
      <c r="D45" s="14" t="s">
        <v>48</v>
      </c>
    </row>
    <row r="46" customFormat="false" ht="15" hidden="false" customHeight="false" outlineLevel="0" collapsed="false">
      <c r="B46" s="12" t="s">
        <v>75</v>
      </c>
      <c r="C46" s="13" t="s">
        <v>76</v>
      </c>
      <c r="D46" s="14" t="s">
        <v>48</v>
      </c>
    </row>
    <row r="47" customFormat="false" ht="15" hidden="false" customHeight="false" outlineLevel="0" collapsed="false">
      <c r="B47" s="12" t="s">
        <v>77</v>
      </c>
      <c r="C47" s="13" t="s">
        <v>78</v>
      </c>
      <c r="D47" s="14" t="s">
        <v>48</v>
      </c>
    </row>
    <row r="48" customFormat="false" ht="15" hidden="false" customHeight="false" outlineLevel="0" collapsed="false">
      <c r="B48" s="12" t="s">
        <v>79</v>
      </c>
      <c r="C48" s="13" t="s">
        <v>80</v>
      </c>
      <c r="D48" s="14" t="s">
        <v>81</v>
      </c>
    </row>
    <row r="49" customFormat="false" ht="15" hidden="false" customHeight="false" outlineLevel="0" collapsed="false">
      <c r="B49" s="12" t="s">
        <v>82</v>
      </c>
      <c r="C49" s="13" t="s">
        <v>83</v>
      </c>
      <c r="D49" s="14" t="s">
        <v>81</v>
      </c>
    </row>
    <row r="50" customFormat="false" ht="15" hidden="false" customHeight="false" outlineLevel="0" collapsed="false">
      <c r="B50" s="12" t="s">
        <v>84</v>
      </c>
      <c r="C50" s="13" t="s">
        <v>85</v>
      </c>
      <c r="D50" s="14" t="s">
        <v>81</v>
      </c>
    </row>
    <row r="51" customFormat="false" ht="15" hidden="false" customHeight="false" outlineLevel="0" collapsed="false">
      <c r="B51" s="12" t="s">
        <v>86</v>
      </c>
      <c r="C51" s="13" t="s">
        <v>87</v>
      </c>
      <c r="D51" s="14" t="s">
        <v>81</v>
      </c>
    </row>
    <row r="52" customFormat="false" ht="15" hidden="false" customHeight="false" outlineLevel="0" collapsed="false">
      <c r="B52" s="12" t="s">
        <v>88</v>
      </c>
      <c r="C52" s="13" t="s">
        <v>89</v>
      </c>
      <c r="D52" s="14" t="s">
        <v>81</v>
      </c>
    </row>
    <row r="54" customFormat="false" ht="15" hidden="false" customHeight="false" outlineLevel="0" collapsed="false">
      <c r="B54" s="5" t="s">
        <v>90</v>
      </c>
    </row>
    <row r="55" customFormat="false" ht="15" hidden="false" customHeight="false" outlineLevel="0" collapsed="false">
      <c r="B55" s="15" t="s">
        <v>91</v>
      </c>
    </row>
    <row r="56" customFormat="false" ht="15" hidden="false" customHeight="false" outlineLevel="0" collapsed="false">
      <c r="B56" s="16" t="s">
        <v>92</v>
      </c>
    </row>
    <row r="57" customFormat="false" ht="15" hidden="false" customHeight="false" outlineLevel="0" collapsed="false">
      <c r="B57" s="17" t="s">
        <v>93</v>
      </c>
    </row>
    <row r="58" customFormat="false" ht="15" hidden="false" customHeight="false" outlineLevel="0" collapsed="false">
      <c r="B58" s="18" t="s">
        <v>94</v>
      </c>
    </row>
    <row r="59" customFormat="false" ht="15" hidden="false" customHeight="false" outlineLevel="0" collapsed="false">
      <c r="B59" s="19" t="s">
        <v>95</v>
      </c>
    </row>
  </sheetData>
  <mergeCells count="1">
    <mergeCell ref="B6:E6"/>
  </mergeCells>
  <hyperlinks>
    <hyperlink ref="B20" r:id="rId1" location="'Cover'!A1" display="Cover"/>
    <hyperlink ref="B21" r:id="rId2" location="'Guide'!A1" display="Guide"/>
    <hyperlink ref="B22" r:id="rId3" location="'Checks'!A1" display="Checks"/>
    <hyperlink ref="B23" r:id="rId4" location="'CFO_Report'!A1" display="CFO_Report"/>
    <hyperlink ref="B24" r:id="rId5" location="'KPIs'!A1" display="KPIs"/>
    <hyperlink ref="B25" r:id="rId6" location="'PL'!A1" display="PL"/>
    <hyperlink ref="B26" r:id="rId7" location="'BS'!A1" display="BS"/>
    <hyperlink ref="B27" r:id="rId8" location="'CF'!A1" display="CF"/>
    <hyperlink ref="B28" r:id="rId9" location="'BvA'!A1" display="BvA"/>
    <hyperlink ref="B29" r:id="rId10" location="'Scenarios'!A1" display="Scenarios"/>
    <hyperlink ref="B30" r:id="rId11" location="'Cash_13W'!A1" display="Cash_13W"/>
    <hyperlink ref="B31" r:id="rId12" location="'Client_Profitability'!A1" display="Client_Profitability"/>
    <hyperlink ref="B32" r:id="rId13" location="'Clients'!A1" display="Clients"/>
    <hyperlink ref="B33" r:id="rId14" location="'Retainers'!A1" display="Retainers"/>
    <hyperlink ref="B34" r:id="rId15" location="'Projects'!A1" display="Projects"/>
    <hyperlink ref="B35" r:id="rId16" location="'TM_Media'!A1" display="TM_Media"/>
    <hyperlink ref="B36" r:id="rId17" location="'Utilisation'!A1" display="Utilisation"/>
    <hyperlink ref="B37" r:id="rId18" location="'People'!A1" display="People"/>
    <hyperlink ref="B38" r:id="rId19" location="'Pipeline'!A1" display="Pipeline"/>
    <hyperlink ref="B39" r:id="rId20" location="'FX'!A1" display="FX"/>
    <hyperlink ref="B40" r:id="rId21" location="'Receivables'!A1" display="Receivables"/>
    <hyperlink ref="B41" r:id="rId22" location="'AR_Aging'!A1" display="AR_Aging"/>
    <hyperlink ref="B42" r:id="rId23" location="'AP_Aging'!A1" display="AP_Aging"/>
    <hyperlink ref="B43" r:id="rId24" location="'Payables'!A1" display="Payables"/>
    <hyperlink ref="B44" r:id="rId25" location="'VAT'!A1" display="VAT"/>
    <hyperlink ref="B45" r:id="rId26" location="'Overheads'!A1" display="Overheads"/>
    <hyperlink ref="B46" r:id="rId27" location="'Fixed_Assets'!A1" display="Fixed_Assets"/>
    <hyperlink ref="B47" r:id="rId28" location="'Financing'!A1" display="Financing"/>
    <hyperlink ref="B48" r:id="rId29" location="'Client_Register'!A1" display="Client_Register"/>
    <hyperlink ref="B49" r:id="rId30" location="'Project_Register'!A1" display="Project_Register"/>
    <hyperlink ref="B50" r:id="rId31" location="'Assumptions'!A1" display="Assumptions"/>
    <hyperlink ref="B51" r:id="rId32" location="'Inputs_Actuals'!A1" display="Inputs_Actuals"/>
    <hyperlink ref="B52" r:id="rId33" location="'Budget_FY26'!A1" display="Budget_FY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5"/>
    <col collapsed="false" customWidth="true" hidden="false" outlineLevel="0" max="2" min="2" style="0" width="30"/>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96</v>
      </c>
    </row>
    <row r="4" customFormat="false" ht="15" hidden="false" customHeight="false" outlineLevel="0" collapsed="false">
      <c r="A4" s="22" t="s">
        <v>97</v>
      </c>
      <c r="B4" s="23"/>
    </row>
    <row r="5" customFormat="false" ht="75" hidden="false" customHeight="true" outlineLevel="0" collapsed="false">
      <c r="A5" s="24" t="s">
        <v>98</v>
      </c>
      <c r="B5" s="24"/>
    </row>
    <row r="6" customFormat="false" ht="45" hidden="false" customHeight="true" outlineLevel="0" collapsed="false">
      <c r="A6" s="24" t="s">
        <v>99</v>
      </c>
      <c r="B6" s="24"/>
    </row>
    <row r="8" customFormat="false" ht="15" hidden="false" customHeight="false" outlineLevel="0" collapsed="false">
      <c r="A8" s="22" t="s">
        <v>100</v>
      </c>
      <c r="B8" s="23"/>
    </row>
    <row r="9" customFormat="false" ht="60" hidden="false" customHeight="true" outlineLevel="0" collapsed="false">
      <c r="A9" s="24" t="s">
        <v>101</v>
      </c>
      <c r="B9" s="24"/>
    </row>
    <row r="10" customFormat="false" ht="45" hidden="false" customHeight="true" outlineLevel="0" collapsed="false">
      <c r="A10" s="24" t="s">
        <v>102</v>
      </c>
      <c r="B10" s="24"/>
    </row>
    <row r="11" customFormat="false" ht="45" hidden="false" customHeight="true" outlineLevel="0" collapsed="false">
      <c r="A11" s="24" t="s">
        <v>103</v>
      </c>
      <c r="B11" s="24"/>
    </row>
    <row r="12" customFormat="false" ht="45" hidden="false" customHeight="true" outlineLevel="0" collapsed="false">
      <c r="A12" s="24" t="s">
        <v>104</v>
      </c>
      <c r="B12" s="24"/>
    </row>
    <row r="13" customFormat="false" ht="30" hidden="false" customHeight="true" outlineLevel="0" collapsed="false">
      <c r="A13" s="24" t="s">
        <v>105</v>
      </c>
      <c r="B13" s="24"/>
    </row>
    <row r="15" customFormat="false" ht="15" hidden="false" customHeight="false" outlineLevel="0" collapsed="false">
      <c r="A15" s="22" t="s">
        <v>106</v>
      </c>
      <c r="B15" s="23"/>
    </row>
    <row r="16" customFormat="false" ht="30" hidden="false" customHeight="true" outlineLevel="0" collapsed="false">
      <c r="A16" s="24" t="s">
        <v>107</v>
      </c>
      <c r="B16" s="24"/>
    </row>
    <row r="17" customFormat="false" ht="60" hidden="false" customHeight="true" outlineLevel="0" collapsed="false">
      <c r="A17" s="24" t="s">
        <v>108</v>
      </c>
      <c r="B17" s="24"/>
    </row>
    <row r="18" customFormat="false" ht="30" hidden="false" customHeight="true" outlineLevel="0" collapsed="false">
      <c r="A18" s="24" t="s">
        <v>109</v>
      </c>
      <c r="B18" s="24"/>
    </row>
    <row r="19" customFormat="false" ht="45" hidden="false" customHeight="true" outlineLevel="0" collapsed="false">
      <c r="A19" s="24" t="s">
        <v>110</v>
      </c>
      <c r="B19" s="24"/>
    </row>
    <row r="20" customFormat="false" ht="45" hidden="false" customHeight="true" outlineLevel="0" collapsed="false">
      <c r="A20" s="24" t="s">
        <v>111</v>
      </c>
      <c r="B20" s="24"/>
    </row>
    <row r="22" customFormat="false" ht="15" hidden="false" customHeight="false" outlineLevel="0" collapsed="false">
      <c r="A22" s="22" t="s">
        <v>112</v>
      </c>
      <c r="B22" s="23"/>
    </row>
    <row r="23" customFormat="false" ht="45" hidden="false" customHeight="true" outlineLevel="0" collapsed="false">
      <c r="A23" s="24" t="s">
        <v>113</v>
      </c>
      <c r="B23" s="24"/>
    </row>
    <row r="24" customFormat="false" ht="60" hidden="false" customHeight="true" outlineLevel="0" collapsed="false">
      <c r="A24" s="24" t="s">
        <v>114</v>
      </c>
      <c r="B24" s="24"/>
    </row>
    <row r="25" customFormat="false" ht="30" hidden="false" customHeight="true" outlineLevel="0" collapsed="false">
      <c r="A25" s="24" t="s">
        <v>115</v>
      </c>
      <c r="B25" s="24"/>
    </row>
    <row r="27" customFormat="false" ht="15" hidden="false" customHeight="false" outlineLevel="0" collapsed="false">
      <c r="A27" s="22" t="s">
        <v>116</v>
      </c>
      <c r="B27" s="23"/>
    </row>
    <row r="28" customFormat="false" ht="75" hidden="false" customHeight="true" outlineLevel="0" collapsed="false">
      <c r="A28" s="24" t="s">
        <v>117</v>
      </c>
      <c r="B28" s="24"/>
    </row>
    <row r="29" customFormat="false" ht="45" hidden="false" customHeight="true" outlineLevel="0" collapsed="false">
      <c r="A29" s="24" t="s">
        <v>118</v>
      </c>
      <c r="B29" s="24"/>
    </row>
    <row r="30" customFormat="false" ht="45" hidden="false" customHeight="true" outlineLevel="0" collapsed="false">
      <c r="A30" s="24" t="s">
        <v>119</v>
      </c>
      <c r="B30" s="24"/>
    </row>
    <row r="32" customFormat="false" ht="15" hidden="false" customHeight="false" outlineLevel="0" collapsed="false">
      <c r="A32" s="22" t="s">
        <v>120</v>
      </c>
      <c r="B32" s="23"/>
    </row>
    <row r="33" customFormat="false" ht="45" hidden="false" customHeight="true" outlineLevel="0" collapsed="false">
      <c r="A33" s="24" t="s">
        <v>121</v>
      </c>
      <c r="B33" s="24"/>
    </row>
    <row r="34" customFormat="false" ht="30" hidden="false" customHeight="true" outlineLevel="0" collapsed="false">
      <c r="A34" s="24" t="s">
        <v>122</v>
      </c>
      <c r="B34" s="24"/>
    </row>
    <row r="35" customFormat="false" ht="30" hidden="false" customHeight="true" outlineLevel="0" collapsed="false">
      <c r="A35" s="24" t="s">
        <v>123</v>
      </c>
      <c r="B35" s="24"/>
    </row>
    <row r="36" customFormat="false" ht="30" hidden="false" customHeight="true" outlineLevel="0" collapsed="false">
      <c r="A36" s="24" t="s">
        <v>124</v>
      </c>
      <c r="B36" s="24"/>
    </row>
    <row r="38" customFormat="false" ht="15" hidden="false" customHeight="false" outlineLevel="0" collapsed="false">
      <c r="A38" s="22" t="s">
        <v>125</v>
      </c>
      <c r="B38" s="23"/>
    </row>
    <row r="39" customFormat="false" ht="45" hidden="false" customHeight="true" outlineLevel="0" collapsed="false">
      <c r="A39" s="24" t="s">
        <v>126</v>
      </c>
      <c r="B39" s="24"/>
    </row>
    <row r="40" customFormat="false" ht="30" hidden="false" customHeight="true" outlineLevel="0" collapsed="false">
      <c r="A40" s="24" t="s">
        <v>127</v>
      </c>
      <c r="B40" s="24"/>
    </row>
    <row r="41" customFormat="false" ht="30" hidden="false" customHeight="true" outlineLevel="0" collapsed="false">
      <c r="A41" s="24" t="s">
        <v>128</v>
      </c>
      <c r="B41" s="24"/>
    </row>
    <row r="42" customFormat="false" ht="30" hidden="false" customHeight="true" outlineLevel="0" collapsed="false">
      <c r="A42" s="24" t="s">
        <v>129</v>
      </c>
      <c r="B42" s="24"/>
    </row>
    <row r="43" customFormat="false" ht="30" hidden="false" customHeight="true" outlineLevel="0" collapsed="false">
      <c r="A43" s="24" t="s">
        <v>130</v>
      </c>
      <c r="B43" s="24"/>
    </row>
    <row r="45" customFormat="false" ht="15" hidden="false" customHeight="false" outlineLevel="0" collapsed="false">
      <c r="A45" s="22" t="s">
        <v>131</v>
      </c>
      <c r="B45" s="23"/>
    </row>
    <row r="46" customFormat="false" ht="45" hidden="false" customHeight="true" outlineLevel="0" collapsed="false">
      <c r="A46" s="24" t="s">
        <v>132</v>
      </c>
      <c r="B46" s="24"/>
    </row>
    <row r="48" customFormat="false" ht="15" hidden="false" customHeight="false" outlineLevel="0" collapsed="false">
      <c r="A48" s="22" t="s">
        <v>133</v>
      </c>
      <c r="B48" s="23"/>
    </row>
    <row r="49" customFormat="false" ht="30" hidden="false" customHeight="true" outlineLevel="0" collapsed="false">
      <c r="A49" s="24" t="s">
        <v>134</v>
      </c>
      <c r="B49" s="24"/>
    </row>
    <row r="50" customFormat="false" ht="30" hidden="false" customHeight="true" outlineLevel="0" collapsed="false">
      <c r="A50" s="24" t="s">
        <v>135</v>
      </c>
      <c r="B50" s="24"/>
    </row>
    <row r="51" customFormat="false" ht="30" hidden="false" customHeight="true" outlineLevel="0" collapsed="false">
      <c r="A51" s="24" t="s">
        <v>136</v>
      </c>
      <c r="B51" s="24"/>
    </row>
    <row r="52" customFormat="false" ht="30" hidden="false" customHeight="true" outlineLevel="0" collapsed="false">
      <c r="A52" s="24" t="s">
        <v>137</v>
      </c>
      <c r="B52" s="24"/>
    </row>
    <row r="53" customFormat="false" ht="15" hidden="false" customHeight="true" outlineLevel="0" collapsed="false">
      <c r="A53" s="24" t="s">
        <v>138</v>
      </c>
      <c r="B53" s="24"/>
    </row>
    <row r="55" customFormat="false" ht="15" hidden="false" customHeight="false" outlineLevel="0" collapsed="false">
      <c r="A55" s="22" t="s">
        <v>139</v>
      </c>
      <c r="B55" s="23"/>
    </row>
    <row r="56" customFormat="false" ht="30" hidden="false" customHeight="true" outlineLevel="0" collapsed="false">
      <c r="A56" s="24" t="s">
        <v>140</v>
      </c>
      <c r="B56" s="24"/>
    </row>
    <row r="57" customFormat="false" ht="30" hidden="false" customHeight="true" outlineLevel="0" collapsed="false">
      <c r="A57" s="24" t="s">
        <v>141</v>
      </c>
      <c r="B57" s="24"/>
    </row>
    <row r="58" customFormat="false" ht="15" hidden="false" customHeight="true" outlineLevel="0" collapsed="false">
      <c r="A58" s="24" t="s">
        <v>142</v>
      </c>
      <c r="B58" s="24"/>
    </row>
    <row r="59" customFormat="false" ht="30" hidden="false" customHeight="true" outlineLevel="0" collapsed="false">
      <c r="A59" s="24" t="s">
        <v>143</v>
      </c>
      <c r="B59" s="24"/>
    </row>
    <row r="60" customFormat="false" ht="15" hidden="false" customHeight="true" outlineLevel="0" collapsed="false">
      <c r="A60" s="24" t="s">
        <v>144</v>
      </c>
      <c r="B60" s="24"/>
    </row>
    <row r="61" customFormat="false" ht="15" hidden="false" customHeight="true" outlineLevel="0" collapsed="false">
      <c r="A61" s="24" t="s">
        <v>145</v>
      </c>
      <c r="B61" s="24"/>
    </row>
  </sheetData>
  <mergeCells count="39">
    <mergeCell ref="A5:B5"/>
    <mergeCell ref="A6:B6"/>
    <mergeCell ref="A9:B9"/>
    <mergeCell ref="A10:B10"/>
    <mergeCell ref="A11:B11"/>
    <mergeCell ref="A12:B12"/>
    <mergeCell ref="A13:B13"/>
    <mergeCell ref="A16:B16"/>
    <mergeCell ref="A17:B17"/>
    <mergeCell ref="A18:B18"/>
    <mergeCell ref="A19:B19"/>
    <mergeCell ref="A20:B20"/>
    <mergeCell ref="A23:B23"/>
    <mergeCell ref="A24:B24"/>
    <mergeCell ref="A25:B25"/>
    <mergeCell ref="A28:B28"/>
    <mergeCell ref="A29:B29"/>
    <mergeCell ref="A30:B30"/>
    <mergeCell ref="A33:B33"/>
    <mergeCell ref="A34:B34"/>
    <mergeCell ref="A35:B35"/>
    <mergeCell ref="A36:B36"/>
    <mergeCell ref="A39:B39"/>
    <mergeCell ref="A40:B40"/>
    <mergeCell ref="A41:B41"/>
    <mergeCell ref="A42:B42"/>
    <mergeCell ref="A43:B43"/>
    <mergeCell ref="A46:B46"/>
    <mergeCell ref="A49:B49"/>
    <mergeCell ref="A50:B50"/>
    <mergeCell ref="A51:B51"/>
    <mergeCell ref="A52:B52"/>
    <mergeCell ref="A53:B53"/>
    <mergeCell ref="A56:B56"/>
    <mergeCell ref="A57:B57"/>
    <mergeCell ref="A58:B58"/>
    <mergeCell ref="A59:B59"/>
    <mergeCell ref="A60:B60"/>
    <mergeCell ref="A61:B6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0"/>
    <col collapsed="false" customWidth="true" hidden="false" outlineLevel="0" max="2" min="2" style="0" width="70"/>
    <col collapsed="false" customWidth="true" hidden="false" outlineLevel="0" max="3" min="3" style="0" width="16"/>
    <col collapsed="false" customWidth="true" hidden="false" outlineLevel="0" max="5" min="4" style="0" width="10"/>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146</v>
      </c>
    </row>
    <row r="3" customFormat="false" ht="15" hidden="false" customHeight="false" outlineLevel="0" collapsed="false">
      <c r="A3" s="25" t="s">
        <v>147</v>
      </c>
    </row>
    <row r="5" customFormat="false" ht="15" hidden="false" customHeight="false" outlineLevel="0" collapsed="false">
      <c r="A5" s="26" t="s">
        <v>148</v>
      </c>
      <c r="B5" s="27" t="s">
        <v>149</v>
      </c>
      <c r="C5" s="27" t="s">
        <v>150</v>
      </c>
      <c r="D5" s="27" t="s">
        <v>151</v>
      </c>
      <c r="E5" s="27" t="s">
        <v>152</v>
      </c>
    </row>
    <row r="6" customFormat="false" ht="15" hidden="false" customHeight="false" outlineLevel="0" collapsed="false">
      <c r="A6" s="22" t="s">
        <v>153</v>
      </c>
      <c r="B6" s="23"/>
      <c r="C6" s="23"/>
      <c r="D6" s="23"/>
      <c r="E6" s="23"/>
    </row>
    <row r="7" customFormat="false" ht="15" hidden="false" customHeight="false" outlineLevel="0" collapsed="false">
      <c r="A7" s="28" t="s">
        <v>154</v>
      </c>
      <c r="B7" s="14" t="s">
        <v>155</v>
      </c>
      <c r="C7" s="29" t="n">
        <f aca="false">SUMPRODUCT(ABS(BS!$E$36:$AB$36))</f>
        <v>0</v>
      </c>
      <c r="D7" s="30" t="n">
        <v>0.5</v>
      </c>
      <c r="E7" s="31" t="str">
        <f aca="false">IF(ABS(C7)&lt;=D7,"OK","CHECK")</f>
        <v>OK</v>
      </c>
    </row>
    <row r="8" customFormat="false" ht="15" hidden="false" customHeight="false" outlineLevel="0" collapsed="false">
      <c r="A8" s="28" t="s">
        <v>156</v>
      </c>
      <c r="B8" s="14" t="s">
        <v>157</v>
      </c>
      <c r="C8" s="29" t="n">
        <f aca="false">SUMPRODUCT(ABS(CF!$E$58:$AB$58))</f>
        <v>0</v>
      </c>
      <c r="D8" s="30" t="n">
        <v>0.5</v>
      </c>
      <c r="E8" s="31" t="str">
        <f aca="false">IF(ABS(C8)&lt;=D8,"OK","CHECK")</f>
        <v>OK</v>
      </c>
    </row>
    <row r="9" customFormat="false" ht="15" hidden="false" customHeight="false" outlineLevel="0" collapsed="false">
      <c r="A9" s="28" t="s">
        <v>158</v>
      </c>
      <c r="B9" s="14" t="s">
        <v>159</v>
      </c>
      <c r="C9" s="29" t="n">
        <f aca="false">SUMPRODUCT(ABS(CF!$E$38:$AB$38-BS!$E$9:$AB$9))</f>
        <v>0</v>
      </c>
      <c r="D9" s="30" t="n">
        <v>0.5</v>
      </c>
      <c r="E9" s="31" t="str">
        <f aca="false">IF(ABS(C9)&lt;=D9,"OK","CHECK")</f>
        <v>OK</v>
      </c>
    </row>
    <row r="10" customFormat="false" ht="15" hidden="false" customHeight="false" outlineLevel="0" collapsed="false">
      <c r="A10" s="28" t="s">
        <v>160</v>
      </c>
      <c r="B10" s="14" t="s">
        <v>161</v>
      </c>
      <c r="C10" s="29" t="n">
        <f aca="false">BS!AB33-(Inputs_Actuals!$C$195+SUM(BS!$E$31:$AB$31)-SUM(BS!$E$32:$AB$32))</f>
        <v>0</v>
      </c>
      <c r="D10" s="30" t="n">
        <v>0.5</v>
      </c>
      <c r="E10" s="31" t="str">
        <f aca="false">IF(ABS(C10)&lt;=D10,"OK","CHECK")</f>
        <v>OK</v>
      </c>
    </row>
    <row r="11" customFormat="false" ht="15" hidden="false" customHeight="false" outlineLevel="0" collapsed="false">
      <c r="A11" s="28" t="s">
        <v>162</v>
      </c>
      <c r="B11" s="14" t="s">
        <v>163</v>
      </c>
      <c r="C11" s="29" t="n">
        <f aca="false">SUMPRODUCT(ABS(CF!$E$13:$AB$13-PL!$E$40:$AB$40-PL!$E$45:$AB$45))</f>
        <v>0</v>
      </c>
      <c r="D11" s="30" t="n">
        <v>0.5</v>
      </c>
      <c r="E11" s="31" t="str">
        <f aca="false">IF(ABS(C11)&lt;=D11,"OK","CHECK")</f>
        <v>OK</v>
      </c>
    </row>
    <row r="12" customFormat="false" ht="15" hidden="false" customHeight="false" outlineLevel="0" collapsed="false">
      <c r="A12" s="28" t="s">
        <v>164</v>
      </c>
      <c r="B12" s="14" t="s">
        <v>165</v>
      </c>
      <c r="C12" s="29" t="n">
        <f aca="false">(Inputs_Actuals!$C$179+SUM(Client_Register!$W$7:$W$28)+SUMPRODUCT((Client_Register!$X$7:$X$28&gt;0)*Client_Register!$X$7:$X$28)+Inputs_Actuals!$C$180+Inputs_Actuals!$C$181-Inputs_Actuals!$C$182+Inputs_Actuals!$C$183-Inputs_Actuals!$C$184)-(Inputs_Actuals!$C$185+Inputs_Actuals!$C$186+Inputs_Actuals!$C$187+Inputs_Actuals!$C$188+Inputs_Actuals!$C$189+Inputs_Actuals!$C$190+SUMPRODUCT((Client_Register!$X$7:$X$28&lt;0)*(-Client_Register!$X$7:$X$28))+Inputs_Actuals!$C$191+Inputs_Actuals!$C$193+Inputs_Actuals!$C$192)-Inputs_Actuals!$C$194-Inputs_Actuals!$C$195</f>
        <v>0.000709886429831386</v>
      </c>
      <c r="D12" s="30" t="n">
        <v>0.5</v>
      </c>
      <c r="E12" s="31" t="str">
        <f aca="false">IF(ABS(C12)&lt;=D12,"OK","CHECK")</f>
        <v>OK</v>
      </c>
    </row>
    <row r="13" customFormat="false" ht="15" hidden="false" customHeight="false" outlineLevel="0" collapsed="false">
      <c r="A13" s="22" t="s">
        <v>166</v>
      </c>
      <c r="B13" s="23"/>
      <c r="C13" s="23"/>
      <c r="D13" s="23"/>
      <c r="E13" s="23"/>
    </row>
    <row r="14" customFormat="false" ht="15" hidden="false" customHeight="false" outlineLevel="0" collapsed="false">
      <c r="A14" s="28" t="s">
        <v>167</v>
      </c>
      <c r="B14" s="14" t="s">
        <v>168</v>
      </c>
      <c r="C14" s="29" t="n">
        <f aca="false">SUMPRODUCT(ABS(Projects!$E$24:$AB$24))+SUMPRODUCT(ABS(Projects!$E$42:$AB$42))+SUMPRODUCT(ABS(Projects!$E$60:$AB$60))+SUMPRODUCT(ABS(Projects!$E$78:$AB$78))+SUMPRODUCT(ABS(Projects!$E$96:$AB$96))+SUMPRODUCT(ABS(Projects!$E$114:$AB$114))+SUMPRODUCT(ABS(Projects!$E$134:$AB$134))+SUMPRODUCT(ABS(Projects!$E$152:$AB$152))</f>
        <v>0</v>
      </c>
      <c r="D14" s="30" t="n">
        <v>0.5</v>
      </c>
      <c r="E14" s="31" t="str">
        <f aca="false">IF(ABS(C14)&lt;=D14,"OK","CHECK")</f>
        <v>OK</v>
      </c>
    </row>
    <row r="15" customFormat="false" ht="15" hidden="false" customHeight="false" outlineLevel="0" collapsed="false">
      <c r="A15" s="28" t="s">
        <v>169</v>
      </c>
      <c r="B15" s="14" t="s">
        <v>170</v>
      </c>
      <c r="C15" s="29" t="n">
        <f aca="false">SUMPRODUCT(ABS(Utilisation!$E$75:$AB$75-Clients!$E$542:$AB$542))</f>
        <v>0</v>
      </c>
      <c r="D15" s="30" t="n">
        <v>0.5</v>
      </c>
      <c r="E15" s="31" t="str">
        <f aca="false">IF(ABS(C15)&lt;=D15,"OK","CHECK")</f>
        <v>OK</v>
      </c>
    </row>
    <row r="16" customFormat="false" ht="15" hidden="false" customHeight="false" outlineLevel="0" collapsed="false">
      <c r="A16" s="28" t="s">
        <v>171</v>
      </c>
      <c r="B16" s="14" t="s">
        <v>172</v>
      </c>
      <c r="C16" s="32" t="n">
        <f aca="false">ABS(Assumptions!$B$79)+ABS(Assumptions!$B$80)+ABS(Assumptions!$B$81)+ABS(Assumptions!$B$82)+ABS(Assumptions!$B$83)+ABS(Assumptions!$B$84)</f>
        <v>0</v>
      </c>
      <c r="D16" s="30" t="n">
        <v>1E-006</v>
      </c>
      <c r="E16" s="31" t="str">
        <f aca="false">IF(ABS(C16)&lt;=D16,"OK","CHECK")</f>
        <v>OK</v>
      </c>
    </row>
    <row r="17" customFormat="false" ht="15" hidden="false" customHeight="false" outlineLevel="0" collapsed="false">
      <c r="A17" s="28" t="s">
        <v>173</v>
      </c>
      <c r="B17" s="14" t="s">
        <v>174</v>
      </c>
      <c r="C17" s="32" t="n">
        <f aca="false">ROUND(Assumptions!$C$71+Assumptions!$C$72+Assumptions!$C$73-1,6)</f>
        <v>0</v>
      </c>
      <c r="D17" s="30" t="n">
        <v>1E-006</v>
      </c>
      <c r="E17" s="31" t="str">
        <f aca="false">IF(ABS(C17)&lt;=D17,"OK","CHECK")</f>
        <v>OK</v>
      </c>
    </row>
    <row r="18" customFormat="false" ht="15" hidden="false" customHeight="false" outlineLevel="0" collapsed="false">
      <c r="A18" s="28" t="s">
        <v>175</v>
      </c>
      <c r="B18" s="14" t="s">
        <v>176</v>
      </c>
      <c r="C18" s="32" t="n">
        <f aca="false">MAX(0,MAX(MAX(Projects!$E$15:$AB$15),MAX(Projects!$E$33:$AB$33),MAX(Projects!$E$51:$AB$51),MAX(Projects!$E$69:$AB$69),MAX(Projects!$E$87:$AB$87),MAX(Projects!$E$105:$AB$105),MAX(Projects!$E$123:$AB$123),MAX(Projects!$E$143:$AB$143),MAX(Projects!$E$161:$AB$161),MAX(Projects!$E$180:$AB$180),MAX(Projects!$E$197:$AB$197),MAX(Projects!$E$214:$AB$214),MAX(Projects!$E$231:$AB$231),MAX(Projects!$E$248:$AB$248),MAX(Projects!$E$265:$AB$265),MAX(Projects!$E$282:$AB$282),MAX(Projects!$E$299:$AB$299))-1)+MAX(0,-MIN(MIN(Projects!$E$15:$AB$15),MIN(Projects!$E$33:$AB$33),MIN(Projects!$E$51:$AB$51),MIN(Projects!$E$69:$AB$69),MIN(Projects!$E$87:$AB$87),MIN(Projects!$E$105:$AB$105),MIN(Projects!$E$123:$AB$123),MIN(Projects!$E$143:$AB$143),MIN(Projects!$E$161:$AB$161),MIN(Projects!$E$180:$AB$180),MIN(Projects!$E$197:$AB$197),MIN(Projects!$E$214:$AB$214),MIN(Projects!$E$231:$AB$231),MIN(Projects!$E$248:$AB$248),MIN(Projects!$E$265:$AB$265),MIN(Projects!$E$282:$AB$282),MIN(Projects!$E$299:$AB$299)))</f>
        <v>0</v>
      </c>
      <c r="D18" s="30" t="n">
        <v>0.0001</v>
      </c>
      <c r="E18" s="31" t="str">
        <f aca="false">IF(ABS(C18)&lt;=D18,"OK","CHECK")</f>
        <v>OK</v>
      </c>
    </row>
    <row r="19" customFormat="false" ht="15" hidden="false" customHeight="false" outlineLevel="0" collapsed="false">
      <c r="A19" s="28" t="s">
        <v>177</v>
      </c>
      <c r="B19" s="14" t="s">
        <v>178</v>
      </c>
      <c r="C19" s="29" t="n">
        <f aca="false">IF(Project_Register!$U$7&lt;=24,ABS(INDEX(Projects!$E$21:$AB$21,MIN(24,Project_Register!$U$7))-INDEX(Projects!$E$16:$AB$16,MIN(24,Project_Register!$U$7))),0)+IF(Project_Register!$U$8&lt;=24,ABS(INDEX(Projects!$E$39:$AB$39,MIN(24,Project_Register!$U$8))-INDEX(Projects!$E$34:$AB$34,MIN(24,Project_Register!$U$8))),0)+IF(Project_Register!$U$9&lt;=24,ABS(INDEX(Projects!$E$57:$AB$57,MIN(24,Project_Register!$U$9))-INDEX(Projects!$E$52:$AB$52,MIN(24,Project_Register!$U$9))),0)+IF(Project_Register!$U$10&lt;=24,ABS(INDEX(Projects!$E$75:$AB$75,MIN(24,Project_Register!$U$10))-INDEX(Projects!$E$70:$AB$70,MIN(24,Project_Register!$U$10))),0)+IF(Project_Register!$U$11&lt;=24,ABS(INDEX(Projects!$E$93:$AB$93,MIN(24,Project_Register!$U$11))-INDEX(Projects!$E$88:$AB$88,MIN(24,Project_Register!$U$11))),0)+IF(Project_Register!$U$12&lt;=24,ABS(INDEX(Projects!$E$111:$AB$111,MIN(24,Project_Register!$U$12))-INDEX(Projects!$E$106:$AB$106,MIN(24,Project_Register!$U$12))),0)+IF(Project_Register!$U$13&lt;=24,ABS(INDEX(Projects!$E$129:$AB$129,MIN(24,Project_Register!$U$13))-INDEX(Projects!$E$124:$AB$124,MIN(24,Project_Register!$U$13))),0)+IF(Project_Register!$U$14&lt;=24,ABS(INDEX(Projects!$E$149:$AB$149,MIN(24,Project_Register!$U$14))-INDEX(Projects!$E$144:$AB$144,MIN(24,Project_Register!$U$14))),0)+IF(Project_Register!$U$15&lt;=24,ABS(INDEX(Projects!$E$167:$AB$167,MIN(24,Project_Register!$U$15))-INDEX(Projects!$E$162:$AB$162,MIN(24,Project_Register!$U$15))),0)+IF(Project_Register!$U$16&lt;=24,ABS(INDEX(Projects!$E$186:$AB$186,MIN(24,Project_Register!$U$16))-INDEX(Projects!$E$181:$AB$181,MIN(24,Project_Register!$U$16))),0)+IF(Project_Register!$U$17&lt;=24,ABS(INDEX(Projects!$E$203:$AB$203,MIN(24,Project_Register!$U$17))-INDEX(Projects!$E$198:$AB$198,MIN(24,Project_Register!$U$17))),0)+IF(Project_Register!$U$18&lt;=24,ABS(INDEX(Projects!$E$220:$AB$220,MIN(24,Project_Register!$U$18))-INDEX(Projects!$E$215:$AB$215,MIN(24,Project_Register!$U$18))),0)+IF(Project_Register!$U$19&lt;=24,ABS(INDEX(Projects!$E$237:$AB$237,MIN(24,Project_Register!$U$19))-INDEX(Projects!$E$232:$AB$232,MIN(24,Project_Register!$U$19))),0)+IF(Project_Register!$U$20&lt;=24,ABS(INDEX(Projects!$E$254:$AB$254,MIN(24,Project_Register!$U$20))-INDEX(Projects!$E$249:$AB$249,MIN(24,Project_Register!$U$20))),0)+IF(Project_Register!$U$21&lt;=24,ABS(INDEX(Projects!$E$271:$AB$271,MIN(24,Project_Register!$U$21))-INDEX(Projects!$E$266:$AB$266,MIN(24,Project_Register!$U$21))),0)+IF(Project_Register!$U$22&lt;=24,ABS(INDEX(Projects!$E$288:$AB$288,MIN(24,Project_Register!$U$22))-INDEX(Projects!$E$283:$AB$283,MIN(24,Project_Register!$U$22))),0)+IF(Project_Register!$U$23&lt;=24,ABS(INDEX(Projects!$E$305:$AB$305,MIN(24,Project_Register!$U$23))-INDEX(Projects!$E$300:$AB$300,MIN(24,Project_Register!$U$23))),0)</f>
        <v>0</v>
      </c>
      <c r="D19" s="30" t="n">
        <v>0.5</v>
      </c>
      <c r="E19" s="31" t="str">
        <f aca="false">IF(ABS(C19)&lt;=D19,"OK","CHECK")</f>
        <v>OK</v>
      </c>
    </row>
    <row r="20" customFormat="false" ht="15" hidden="false" customHeight="false" outlineLevel="0" collapsed="false">
      <c r="A20" s="28" t="s">
        <v>179</v>
      </c>
      <c r="B20" s="14" t="s">
        <v>180</v>
      </c>
      <c r="C20" s="29" t="n">
        <f aca="false">SUMPRODUCT(ABS(Clients!$E$541:$AB$541-PL!$E$16:$AB$16))</f>
        <v>0</v>
      </c>
      <c r="D20" s="30" t="n">
        <v>0.5</v>
      </c>
      <c r="E20" s="31" t="str">
        <f aca="false">IF(ABS(C20)&lt;=D20,"OK","CHECK")</f>
        <v>OK</v>
      </c>
    </row>
    <row r="21" customFormat="false" ht="15" hidden="false" customHeight="false" outlineLevel="0" collapsed="false">
      <c r="A21" s="28" t="s">
        <v>181</v>
      </c>
      <c r="B21" s="14" t="s">
        <v>182</v>
      </c>
      <c r="C21" s="29" t="n">
        <f aca="false">Client_Profitability!$P$30</f>
        <v>0</v>
      </c>
      <c r="D21" s="30" t="n">
        <v>0.5</v>
      </c>
      <c r="E21" s="31" t="str">
        <f aca="false">IF(ABS(C21)&lt;=D21,"OK","CHECK")</f>
        <v>OK</v>
      </c>
    </row>
    <row r="22" customFormat="false" ht="15" hidden="false" customHeight="false" outlineLevel="0" collapsed="false">
      <c r="A22" s="28" t="s">
        <v>183</v>
      </c>
      <c r="B22" s="14"/>
      <c r="C22" s="29" t="n">
        <f aca="false">Client_Profitability!$E$31</f>
        <v>0</v>
      </c>
      <c r="D22" s="30" t="n">
        <v>0.5</v>
      </c>
      <c r="E22" s="31" t="str">
        <f aca="false">IF(ABS(C22)&lt;=D22,"OK","CHECK")</f>
        <v>OK</v>
      </c>
    </row>
    <row r="23" customFormat="false" ht="15" hidden="false" customHeight="false" outlineLevel="0" collapsed="false">
      <c r="A23" s="28" t="s">
        <v>184</v>
      </c>
      <c r="B23" s="14" t="s">
        <v>185</v>
      </c>
      <c r="C23" s="29" t="n">
        <f aca="false">SUMPRODUCT(ABS(FX!$E$28:$AB$28))</f>
        <v>0</v>
      </c>
      <c r="D23" s="30" t="n">
        <v>0.5</v>
      </c>
      <c r="E23" s="31" t="str">
        <f aca="false">IF(ABS(C23)&lt;=D23,"OK","CHECK")</f>
        <v>OK</v>
      </c>
    </row>
    <row r="24" customFormat="false" ht="15" hidden="false" customHeight="false" outlineLevel="0" collapsed="false">
      <c r="A24" s="22" t="s">
        <v>186</v>
      </c>
      <c r="B24" s="23"/>
      <c r="C24" s="23"/>
      <c r="D24" s="23"/>
      <c r="E24" s="23"/>
    </row>
    <row r="25" customFormat="false" ht="15" hidden="false" customHeight="false" outlineLevel="0" collapsed="false">
      <c r="A25" s="28" t="s">
        <v>187</v>
      </c>
      <c r="B25" s="14" t="s">
        <v>188</v>
      </c>
      <c r="C25" s="29" t="n">
        <f aca="false">AR_Aging!I34</f>
        <v>-0</v>
      </c>
      <c r="D25" s="30" t="n">
        <v>0.5</v>
      </c>
      <c r="E25" s="31" t="str">
        <f aca="false">IF(ABS(C25)&lt;=D25,"OK","CHECK")</f>
        <v>OK</v>
      </c>
    </row>
    <row r="26" customFormat="false" ht="15" hidden="false" customHeight="false" outlineLevel="0" collapsed="false">
      <c r="A26" s="28" t="s">
        <v>189</v>
      </c>
      <c r="B26" s="14" t="s">
        <v>188</v>
      </c>
      <c r="C26" s="29" t="n">
        <f aca="false">AR_Aging!I35</f>
        <v>0</v>
      </c>
      <c r="D26" s="30" t="n">
        <v>0.5</v>
      </c>
      <c r="E26" s="31" t="str">
        <f aca="false">IF(ABS(C26)&lt;=D26,"OK","CHECK")</f>
        <v>OK</v>
      </c>
    </row>
    <row r="27" customFormat="false" ht="15" hidden="false" customHeight="false" outlineLevel="0" collapsed="false">
      <c r="A27" s="28" t="s">
        <v>190</v>
      </c>
      <c r="B27" s="14" t="s">
        <v>188</v>
      </c>
      <c r="C27" s="29" t="n">
        <f aca="false">AR_Aging!I36</f>
        <v>0</v>
      </c>
      <c r="D27" s="30" t="n">
        <v>0.5</v>
      </c>
      <c r="E27" s="31" t="str">
        <f aca="false">IF(ABS(C27)&lt;=D27,"OK","CHECK")</f>
        <v>OK</v>
      </c>
    </row>
    <row r="28" customFormat="false" ht="15" hidden="false" customHeight="false" outlineLevel="0" collapsed="false">
      <c r="A28" s="28" t="s">
        <v>191</v>
      </c>
      <c r="B28" s="14"/>
      <c r="C28" s="29" t="n">
        <f aca="false">AP_Aging!H23</f>
        <v>0</v>
      </c>
      <c r="D28" s="30" t="n">
        <v>0.5</v>
      </c>
      <c r="E28" s="31" t="str">
        <f aca="false">IF(ABS(C28)&lt;=D28,"OK","CHECK")</f>
        <v>OK</v>
      </c>
    </row>
    <row r="29" customFormat="false" ht="15" hidden="false" customHeight="false" outlineLevel="0" collapsed="false">
      <c r="A29" s="28" t="s">
        <v>192</v>
      </c>
      <c r="B29" s="14"/>
      <c r="C29" s="29" t="n">
        <f aca="false">AP_Aging!H24</f>
        <v>-0</v>
      </c>
      <c r="D29" s="30" t="n">
        <v>0.5</v>
      </c>
      <c r="E29" s="31" t="str">
        <f aca="false">IF(ABS(C29)&lt;=D29,"OK","CHECK")</f>
        <v>OK</v>
      </c>
    </row>
    <row r="30" customFormat="false" ht="15" hidden="false" customHeight="false" outlineLevel="0" collapsed="false">
      <c r="A30" s="28" t="s">
        <v>193</v>
      </c>
      <c r="B30" s="14"/>
      <c r="C30" s="29" t="n">
        <f aca="false">AP_Aging!H25</f>
        <v>0</v>
      </c>
      <c r="D30" s="30" t="n">
        <v>0.5</v>
      </c>
      <c r="E30" s="31" t="str">
        <f aca="false">IF(ABS(C30)&lt;=D30,"OK","CHECK")</f>
        <v>OK</v>
      </c>
    </row>
    <row r="31" customFormat="false" ht="15" hidden="false" customHeight="false" outlineLevel="0" collapsed="false">
      <c r="A31" s="28" t="s">
        <v>194</v>
      </c>
      <c r="B31" s="14"/>
      <c r="C31" s="29" t="n">
        <f aca="false">AP_Aging!H26</f>
        <v>0</v>
      </c>
      <c r="D31" s="30" t="n">
        <v>0.5</v>
      </c>
      <c r="E31" s="31" t="str">
        <f aca="false">IF(ABS(C31)&lt;=D31,"OK","CHECK")</f>
        <v>OK</v>
      </c>
    </row>
    <row r="32" customFormat="false" ht="15" hidden="false" customHeight="false" outlineLevel="0" collapsed="false">
      <c r="A32" s="22" t="s">
        <v>195</v>
      </c>
      <c r="B32" s="23"/>
      <c r="C32" s="23"/>
      <c r="D32" s="23"/>
      <c r="E32" s="23"/>
    </row>
    <row r="33" customFormat="false" ht="15" hidden="false" customHeight="false" outlineLevel="0" collapsed="false">
      <c r="A33" s="28" t="s">
        <v>196</v>
      </c>
      <c r="B33" s="14" t="s">
        <v>197</v>
      </c>
      <c r="C33" s="29" t="n">
        <f aca="false">Cash_13W!C73</f>
        <v>0</v>
      </c>
      <c r="D33" s="30" t="n">
        <v>0.5</v>
      </c>
      <c r="E33" s="31" t="str">
        <f aca="false">IF(ABS(C33)&lt;=D33,"OK","CHECK")</f>
        <v>OK</v>
      </c>
    </row>
    <row r="34" customFormat="false" ht="15" hidden="false" customHeight="false" outlineLevel="0" collapsed="false">
      <c r="A34" s="28" t="s">
        <v>198</v>
      </c>
      <c r="B34" s="14" t="s">
        <v>199</v>
      </c>
      <c r="C34" s="29" t="n">
        <f aca="false">Scenarios!G32</f>
        <v>0</v>
      </c>
      <c r="D34" s="30" t="n">
        <v>0.5</v>
      </c>
      <c r="E34" s="31" t="str">
        <f aca="false">IF(ABS(C34)&lt;=D34,"OK","CHECK")</f>
        <v>OK</v>
      </c>
    </row>
    <row r="35" customFormat="false" ht="15" hidden="false" customHeight="false" outlineLevel="0" collapsed="false">
      <c r="A35" s="28" t="s">
        <v>200</v>
      </c>
      <c r="B35" s="14" t="s">
        <v>201</v>
      </c>
      <c r="C35" s="29" t="n">
        <f aca="false">BvA!J56</f>
        <v>0</v>
      </c>
      <c r="D35" s="30" t="n">
        <v>0.5</v>
      </c>
      <c r="E35" s="31" t="str">
        <f aca="false">IF(ABS(C35)&lt;=D35,"OK","CHECK")</f>
        <v>OK</v>
      </c>
    </row>
    <row r="36" customFormat="false" ht="15" hidden="false" customHeight="false" outlineLevel="0" collapsed="false">
      <c r="A36" s="28" t="s">
        <v>202</v>
      </c>
      <c r="B36" s="14" t="s">
        <v>203</v>
      </c>
      <c r="C36" s="29" t="n">
        <f aca="false">BvA!B68</f>
        <v>0</v>
      </c>
      <c r="D36" s="30" t="n">
        <v>0.5</v>
      </c>
      <c r="E36" s="31" t="str">
        <f aca="false">IF(ABS(C36)&lt;=D36,"OK","CHECK")</f>
        <v>OK</v>
      </c>
    </row>
    <row r="37" customFormat="false" ht="15" hidden="false" customHeight="false" outlineLevel="0" collapsed="false">
      <c r="A37" s="22" t="s">
        <v>204</v>
      </c>
      <c r="B37" s="23"/>
      <c r="C37" s="23"/>
      <c r="D37" s="23"/>
      <c r="E37" s="23"/>
    </row>
    <row r="38" customFormat="false" ht="15" hidden="false" customHeight="false" outlineLevel="0" collapsed="false">
      <c r="A38" s="28" t="s">
        <v>205</v>
      </c>
      <c r="B38" s="14"/>
      <c r="C38" s="32" t="n">
        <f aca="false">MIN(BS!$E$10:$AB$10)</f>
        <v>520386.602036567</v>
      </c>
      <c r="D38" s="30" t="n">
        <v>0</v>
      </c>
      <c r="E38" s="31" t="str">
        <f aca="false">IF(C38&gt;=-D38,"OK","CHECK")</f>
        <v>OK</v>
      </c>
    </row>
    <row r="39" customFormat="false" ht="15" hidden="false" customHeight="false" outlineLevel="0" collapsed="false">
      <c r="A39" s="28" t="s">
        <v>206</v>
      </c>
      <c r="B39" s="14"/>
      <c r="C39" s="32" t="n">
        <f aca="false">MIN(Payables!$E$29:$AB$29)</f>
        <v>222709.481465701</v>
      </c>
      <c r="D39" s="30" t="n">
        <v>0</v>
      </c>
      <c r="E39" s="31" t="str">
        <f aca="false">IF(C39&gt;=-D39,"OK","CHECK")</f>
        <v>OK</v>
      </c>
    </row>
    <row r="40" customFormat="false" ht="15" hidden="false" customHeight="false" outlineLevel="0" collapsed="false">
      <c r="A40" s="28" t="s">
        <v>207</v>
      </c>
      <c r="B40" s="14"/>
      <c r="C40" s="32" t="n">
        <f aca="false">MIN(MIN(Utilisation!$E$28:$AB$28),MIN(Utilisation!$E$36:$AB$36),MIN(Utilisation!$E$44:$AB$44),MIN(Utilisation!$E$52:$AB$52),MIN(Utilisation!$E$60:$AB$60),MIN(Utilisation!$E$68:$AB$68))</f>
        <v>0</v>
      </c>
      <c r="D40" s="30" t="n">
        <v>0</v>
      </c>
      <c r="E40" s="31" t="str">
        <f aca="false">IF(C40&gt;=-D40,"OK","CHECK")</f>
        <v>OK</v>
      </c>
    </row>
    <row r="41" customFormat="false" ht="15" hidden="false" customHeight="false" outlineLevel="0" collapsed="false">
      <c r="A41" s="28" t="s">
        <v>208</v>
      </c>
      <c r="B41" s="14"/>
      <c r="C41" s="32" t="n">
        <f aca="false">MIN(Receivables!$E$16:$AB$16)</f>
        <v>0</v>
      </c>
      <c r="D41" s="30" t="n">
        <v>0</v>
      </c>
      <c r="E41" s="31" t="str">
        <f aca="false">IF(C41&gt;=-D41,"OK","CHECK")</f>
        <v>OK</v>
      </c>
    </row>
    <row r="42" customFormat="false" ht="15" hidden="false" customHeight="false" outlineLevel="0" collapsed="false">
      <c r="A42" s="28" t="s">
        <v>209</v>
      </c>
      <c r="B42" s="14"/>
      <c r="C42" s="32" t="n">
        <f aca="false">MIN(Fixed_Assets!$E$27:$AB$27)</f>
        <v>80703.4444444444</v>
      </c>
      <c r="D42" s="30" t="n">
        <v>0</v>
      </c>
      <c r="E42" s="31" t="str">
        <f aca="false">IF(C42&gt;=-D42,"OK","CHECK")</f>
        <v>OK</v>
      </c>
    </row>
    <row r="43" customFormat="false" ht="15" hidden="false" customHeight="false" outlineLevel="0" collapsed="false">
      <c r="A43" s="28" t="s">
        <v>210</v>
      </c>
      <c r="B43" s="14"/>
      <c r="C43" s="32" t="n">
        <f aca="false">MIN(Financing!$E$11:$AB$11)</f>
        <v>36000</v>
      </c>
      <c r="D43" s="30" t="n">
        <v>0</v>
      </c>
      <c r="E43" s="31" t="str">
        <f aca="false">IF(C43&gt;=-D43,"OK","CHECK")</f>
        <v>OK</v>
      </c>
    </row>
    <row r="44" customFormat="false" ht="15" hidden="false" customHeight="false" outlineLevel="0" collapsed="false">
      <c r="A44" s="28" t="s">
        <v>211</v>
      </c>
      <c r="B44" s="14"/>
      <c r="C44" s="29" t="n">
        <f aca="false">COUNTIF(Assumptions!$E$100:$AB$100,"A")-Assumptions!$C$10</f>
        <v>0</v>
      </c>
      <c r="D44" s="30" t="n">
        <v>0.5</v>
      </c>
      <c r="E44" s="31" t="str">
        <f aca="false">IF(ABS(C44)&lt;=D44,"OK","CHECK")</f>
        <v>OK</v>
      </c>
    </row>
    <row r="46" customFormat="false" ht="15" hidden="false" customHeight="false" outlineLevel="0" collapsed="false">
      <c r="A46" s="33" t="s">
        <v>212</v>
      </c>
      <c r="B46" s="34"/>
      <c r="C46" s="34"/>
      <c r="D46" s="34"/>
      <c r="E46" s="35" t="str">
        <f aca="false">IF(COUNTIF(E6:E44,"CHECK")=0,"OK","CHECK")</f>
        <v>OK</v>
      </c>
    </row>
    <row r="48" customFormat="false" ht="15" hidden="false" customHeight="false" outlineLevel="0" collapsed="false">
      <c r="A48" s="22" t="s">
        <v>213</v>
      </c>
      <c r="B48" s="23"/>
      <c r="C48" s="23"/>
      <c r="D48" s="23"/>
      <c r="E48" s="23"/>
    </row>
    <row r="49" customFormat="false" ht="15" hidden="false" customHeight="false" outlineLevel="0" collapsed="false">
      <c r="A49" s="0" t="s">
        <v>214</v>
      </c>
      <c r="B49" s="14" t="s">
        <v>215</v>
      </c>
      <c r="C49" s="36" t="n">
        <f aca="false">MIN(BS!M9:AB9)</f>
        <v>339326.23945676</v>
      </c>
    </row>
    <row r="50" customFormat="false" ht="15" hidden="false" customHeight="false" outlineLevel="0" collapsed="false">
      <c r="A50" s="0" t="s">
        <v>216</v>
      </c>
      <c r="B50" s="14"/>
      <c r="C50" s="36" t="n">
        <f aca="false">Cash_13W!C61</f>
        <v>374003.25546433</v>
      </c>
    </row>
    <row r="51" customFormat="false" ht="15" hidden="false" customHeight="false" outlineLevel="0" collapsed="false">
      <c r="A51" s="0" t="s">
        <v>217</v>
      </c>
      <c r="B51" s="14" t="s">
        <v>218</v>
      </c>
      <c r="C51" s="37" t="n">
        <f aca="false">MIN(Utilisation!M78:AB78)</f>
        <v>0.602455359932064</v>
      </c>
    </row>
    <row r="52" customFormat="false" ht="15" hidden="false" customHeight="false" outlineLevel="0" collapsed="false">
      <c r="A52" s="0" t="s">
        <v>219</v>
      </c>
      <c r="B52" s="14" t="s">
        <v>220</v>
      </c>
      <c r="C52" s="37" t="n">
        <f aca="false">Client_Profitability!$E$36</f>
        <v>0.177644700940466</v>
      </c>
    </row>
    <row r="53" customFormat="false" ht="15" hidden="false" customHeight="false" outlineLevel="0" collapsed="false">
      <c r="A53" s="0" t="s">
        <v>221</v>
      </c>
      <c r="B53" s="14" t="s">
        <v>222</v>
      </c>
      <c r="C53" s="37" t="n">
        <f aca="false">Retainers!$C$175</f>
        <v>0.113958017834202</v>
      </c>
    </row>
    <row r="54" customFormat="false" ht="15" hidden="false" customHeight="false" outlineLevel="0" collapsed="false">
      <c r="A54" s="0" t="s">
        <v>223</v>
      </c>
      <c r="B54" s="14" t="s">
        <v>224</v>
      </c>
      <c r="C54" s="36" t="n">
        <f aca="false">INDEX(Receivables!$E$22:$AB$22,Assumptions!$C$10)</f>
        <v>14229.0444981028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20"/>
    <col collapsed="false" customWidth="true" hidden="false" outlineLevel="0" max="5" min="3" style="0" width="13"/>
    <col collapsed="false" customWidth="true" hidden="false" outlineLevel="0" max="6" min="6" style="0" width="46"/>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B2" s="21" t="s">
        <v>225</v>
      </c>
    </row>
    <row r="3" customFormat="false" ht="15" hidden="false" customHeight="false" outlineLevel="0" collapsed="false">
      <c r="B3" s="25" t="str">
        <f aca="false">"Reporting month: "&amp;TEXT(Assumptions!$C$9,"mmm-yy")&amp;" actuals, "&amp;Assumptions!$C$12&amp;" scenario for the outlook. Amounts in EUR. Every figure is a live link to the model; the narrative recalculates with the inputs."</f>
        <v>Reporting month: Aug-26 actuals, Base scenario for the outlook. Amounts in EUR. Every figure is a live link to the model; the narrative recalculates with the inputs.</v>
      </c>
    </row>
    <row r="4" customFormat="false" ht="15" hidden="false" customHeight="false" outlineLevel="0" collapsed="false">
      <c r="B4" s="38" t="s">
        <v>226</v>
      </c>
    </row>
    <row r="6" customFormat="false" ht="15" hidden="false" customHeight="false" outlineLevel="0" collapsed="false">
      <c r="B6" s="39" t="s">
        <v>227</v>
      </c>
      <c r="C6" s="40"/>
      <c r="D6" s="40"/>
      <c r="E6" s="40"/>
      <c r="F6" s="40"/>
    </row>
    <row r="7" customFormat="false" ht="70.5" hidden="false" customHeight="true" outlineLevel="0" collapsed="false">
      <c r="B7" s="41" t="str">
        <f aca="false">"Year to date net revenue is EUR "&amp;TEXT((BvA!B19)/1000,"#,##0")&amp;"k, "&amp;TEXT((ABS(BvA!E19)),"0.0%")&amp;" "&amp;IF(BvA!D19&lt;0,"below","above")&amp;" budget, and EBITDA is EUR "&amp;TEXT((BvA!B39)/1000,"#,##0")&amp;"k ("&amp;TEXT((BvA!B40),"0.0%")&amp;" of net revenue) against EUR "&amp;TEXT((BvA!C39)/1000,"#,##0")&amp;"k ("&amp;TEXT((BvA!C40),"0.0%")&amp;") budgeted. The gap is volume more than price: fixed-fee project hours ran "&amp;TEXT((ABS(BvA!E8)),"0%")&amp;" "&amp;IF(BvA!D8&lt;0,"below","above")&amp;" budget because first-half work started late, worth EUR "&amp;TEXT(ABS(BvA!H51)/1000,"#,##0")&amp;"k of net revenue, while retainer overservicing ("&amp;TEXT((SUMIFS(Retainers!$E$173:$AB$173,Assumptions!$E$100:$AB$100,"A")/SUMIFS(Retainers!$E$171:$AB$171,Assumptions!$E$100:$AB$100,"A")),"0%")&amp;" above scope) and the Norbeck overrun held realisation to "&amp;TEXT((SUMIFS(Utilisation!$E$80:$AB$80,Assumptions!$E$100:$AB$100,"A")/SUMIFS(Utilisation!$E$79:$AB$79,Assumptions!$E$100:$AB$100,"A")),"0%")&amp;" of the rate card. Freelancers cost EUR "&amp;TEXT(ABS(BvA!D21)/1000,"#,##0")&amp;"k more than budget when development and design ran at capacity from June."</f>
        <v>Year to date net revenue is EUR 2,548k, 6.4% below budget, and EBITDA is EUR 307k (12.1% of net revenue) against EUR 519k (19.1%) budgeted. The gap is volume more than price: fixed-fee project hours ran 16% below budget because first-half work started late, worth EUR 112k of net revenue, while retainer overservicing (13% above scope) and the Norbeck overrun held realisation to 85% of the rate card. Freelancers cost EUR 50k more than budget when development and design ran at capacity from June.</v>
      </c>
    </row>
    <row r="8" customFormat="false" ht="57" hidden="false" customHeight="true" outlineLevel="0" collapsed="false">
      <c r="B8" s="41" t="str">
        <f aca="false">"Full-year outlook ("&amp;Assumptions!$C$12&amp;"): net revenue EUR "&amp;TEXT((BvA!F19)/1000,"#,##0")&amp;"k ("&amp;TEXT((BvA!I19),"0.0%")&amp;" vs budget), EBITDA EUR "&amp;TEXT((BvA!F39)/1000,"#,##0")&amp;"k ("&amp;TEXT((BvA!F40),"0.0%")&amp;" against "&amp;TEXT((BvA!G40),"0.0%")&amp;" budgeted). The last four months run at EUR "&amp;TEXT((AVERAGE(PL!M16:P16))/1000,"#,##0")&amp;"k of net revenue a month against EUR "&amp;TEXT((BvA!B19/Assumptions!$C$10)/1000,"#,##0")&amp;"k so far, carried by the Quillfield and Pellworth retainers, five live projects and the Quillfield launch campaign; Sarvivaara leaves at the end of September, taking EUR "&amp;TEXT((Pipeline!D40)/1000,"#,##0")&amp;"k of annual fees."</f>
        <v>Full-year outlook (Base): net revenue EUR 3,938k (-4.9% vs budget), EBITDA EUR 583k (14.8% against 20.0% budgeted). The last four months run at EUR 347k of net revenue a month against EUR 319k so far, carried by the Quillfield and Pellworth retainers, five live projects and the Quillfield launch campaign; Sarvivaara leaves at the end of September, taking EUR 162k of annual fees.</v>
      </c>
    </row>
    <row r="9" customFormat="false" ht="70.5" hidden="false" customHeight="true" outlineLevel="0" collapsed="false">
      <c r="B9" s="41" t="str">
        <f aca="false">"Cash is EUR "&amp;TEXT((INDEX(BS!$E$9:$AB$9,Assumptions!$C$10))/1000,"#,##0")&amp;"k at "&amp;TEXT(Assumptions!$C$9,"mmm-yy")&amp;", after the EUR "&amp;TEXT((SUMIFS(Financing!$E$16:$AB$16,Assumptions!$E$100:$AB$100,"A"))/1000,"#,##0")&amp;"k dividend in June and EUR "&amp;TEXT((SUMIFS(Financing!$E$17:$AB$17,Assumptions!$E$100:$AB$100,"A"))/1000,"#,##0")&amp;"k of income tax on it in July. The 13-week low is EUR "&amp;TEXT((Cash_13W!C61)/1000,"#,##0")&amp;"k in the week ending "&amp;TEXT(Cash_13W!C62,"dd-mmm")&amp;", "&amp;IF(Cash_13W!C63&gt;=0,"EUR "&amp;TEXT((Cash_13W!C63)/1000,"#,##0")&amp;"k above the EUR "&amp;TEXT((Assumptions!$C$13)/1000,"#,##0")&amp;"k buffer with the overdraft undrawn.","EUR "&amp;TEXT(ABS(Cash_13W!C63)/1000,"#,##0")&amp;"k below the EUR "&amp;TEXT((Assumptions!$C$13)/1000,"#,##0")&amp;"k buffer: draw the overdraft before that week.")&amp;" The lowest forecast month end is "&amp;IF(Scenarios!F21&lt;0,"an overdrawn EUR "&amp;TEXT(ABS(Scenarios!F21)/1000,"#,##0")&amp;"k","EUR "&amp;TEXT((Scenarios!F21)/1000,"#,##0")&amp;"k")&amp;" in "&amp;TEXT(Scenarios!F22,"mmm-yy")&amp;", on payroll day, "&amp;IF(Scenarios!F23&gt;=0,"EUR "&amp;TEXT((Scenarios!F23)/1000,"#,##0")&amp;"k above","EUR "&amp;TEXT(ABS(Scenarios!F23)/1000,"#,##0")&amp;"k below")&amp;" the buffer. Harrowgate owes EUR "&amp;TEXT((INDEX(Clients!$E$203:$AB$203,Assumptions!$C$10))/1000,"#,##0")&amp;"k, most of it media the agency has already paid the platforms for."</f>
        <v>Cash is EUR 368k at Aug-26, after the EUR 280k dividend in June and EUR 79k of income tax on it in July. The 13-week low is EUR 374k in the week ending 02-Oct, EUR 24k above the EUR 350k buffer with the overdraft undrawn. The lowest forecast month end is EUR 339k in Sep-26, on payroll day, EUR 11k below the buffer. Harrowgate owes EUR 196k, most of it media the agency has already paid the platforms for.</v>
      </c>
    </row>
    <row r="10" customFormat="false" ht="84" hidden="false" customHeight="true" outlineLevel="0" collapsed="false">
      <c r="B10" s="41" t="str">
        <f aca="false">"FY2027 "&amp;Assumptions!$C$12&amp;": net revenue EUR "&amp;TEXT((PL!$D$16)/1000,"#,##0")&amp;"k ("&amp;IF((PL!$D$16/PL!$C$16-1)&gt;=0,TEXT((PL!$D$16/PL!$C$16-1),"0.0%")&amp;" growth",TEXT(ABS((PL!$D$16/PL!$C$16-1)),"0.0%")&amp;" decline")&amp;"), "&amp;IF(PL!$D$40&lt;0,"an EBITDA loss of EUR "&amp;TEXT(ABS(PL!$D$40)/1000,"#,##0")&amp;"k","EBITDA of EUR "&amp;TEXT((PL!$D$40)/1000,"#,##0")&amp;"k")&amp;" ("&amp;TEXT((ABS(PL!$D$41)),"0.0%")&amp;" of net revenue), "&amp;IF(PL!$D$40&lt;PL!$C$40,"below","above")&amp;" FY2026"&amp;IF(Assumptions!$C$11=2," because Halvergate leaves at its renewal and renewals and new business slow."," because the pay review, the head of delivery and the first-quarter hires land before the new work.")&amp;" "&amp;TEXT((Scenarios!F28),"0%")&amp;" of FY2027 fee revenue is not yet won: the named pipeline plus a run-rate of new project wins sized on the FY2026 win record. The Downside (Halvergate leaves at its December renewal) turns FY2027 into "&amp;IF(Scenarios!D16&lt;0,"an EBITDA loss of EUR "&amp;TEXT(ABS(Scenarios!D16)/1000,"#,##0")&amp;"k","EBITDA of EUR "&amp;TEXT((Scenarios!D16)/1000,"#,##0")&amp;"k")&amp;" and takes cash to "&amp;IF(Scenarios!D21&lt;0,"an overdrawn EUR "&amp;TEXT(ABS(Scenarios!D21)/1000,"#,##0")&amp;"k","EUR "&amp;TEXT((Scenarios!D21)/1000,"#,##0")&amp;"k")&amp;": survivable with the overdraft and a "&amp;TEXT((Assumptions!$D$128),"0")&amp;"-person capacity cut, not without them."</f>
        <v>FY2027 Base: net revenue EUR 4,189k (6.4% growth), EBITDA of EUR 539k (12.9% of net revenue), below FY2026 because the pay review, the head of delivery and the first-quarter hires land before the new work. 28% of FY2027 fee revenue is not yet won: the named pipeline plus a run-rate of new project wins sized on the FY2026 win record. The Downside (Halvergate leaves at its December renewal) turns FY2027 into an EBITDA loss of EUR 170k and takes cash to EUR 50k: survivable with the overdraft and a 4-person capacity cut, not without them.</v>
      </c>
    </row>
    <row r="11" customFormat="false" ht="15" hidden="false" customHeight="false" outlineLevel="0" collapsed="false">
      <c r="B11" s="39" t="s">
        <v>228</v>
      </c>
      <c r="C11" s="40"/>
      <c r="D11" s="40"/>
      <c r="E11" s="40"/>
      <c r="F11" s="40"/>
    </row>
    <row r="12" customFormat="false" ht="70.5" hidden="false" customHeight="true" outlineLevel="0" collapsed="false">
      <c r="B12" s="41" t="str">
        <f aca="false">"Net revenue bridge against budget (BvA): retainers "&amp;IF(BvA!H50&gt;=0,"EUR "&amp;TEXT((BvA!H50)/1000,"#,##0")&amp;"k more","EUR "&amp;TEXT(ABS(BvA!H50)/1000,"#,##0")&amp;"k less")&amp;" from hours and "&amp;IF(BvA!I50&gt;=0,"EUR "&amp;TEXT((BvA!I50)/1000,"#,##0")&amp;"k more","EUR "&amp;TEXT(ABS(BvA!I50)/1000,"#,##0")&amp;"k less")&amp;" from rate, because overservicing adds hours without adding fees; fixed-fee projects "&amp;IF(BvA!H51&gt;=0,"EUR "&amp;TEXT((BvA!H51)/1000,"#,##0")&amp;"k more","EUR "&amp;TEXT(ABS(BvA!H51)/1000,"#,##0")&amp;"k less")&amp;" from hours and "&amp;IF(BvA!I51&gt;=0,"EUR "&amp;TEXT((BvA!I51)/1000,"#,##0")&amp;"k more","EUR "&amp;TEXT(ABS(BvA!I51)/1000,"#,##0")&amp;"k less")&amp;" from rate; time and materials "&amp;IF(BvA!H52&gt;=0,"EUR "&amp;TEXT((BvA!H52)/1000,"#,##0")&amp;"k more","EUR "&amp;TEXT(ABS(BvA!H52)/1000,"#,##0")&amp;"k less")&amp;" from hours and "&amp;IF(BvA!I52&gt;=0,"EUR "&amp;TEXT((BvA!I52)/1000,"#,##0")&amp;"k more","EUR "&amp;TEXT(ABS(BvA!I52)/1000,"#,##0")&amp;"k less")&amp;" from rate; media management "&amp;IF(BvA!J53&gt;=0,"EUR "&amp;TEXT((BvA!J53)/1000,"#,##0")&amp;"k more","EUR "&amp;TEXT(ABS(BvA!J53)/1000,"#,##0")&amp;"k less")&amp;" in fees, as client media spend ran "&amp;IF(BvA!J53&lt;0,"below","above")&amp;" the budgeted level. Rate effects include realisation and FX."</f>
        <v>Net revenue bridge against budget (BvA): retainers EUR 15k more from hours and EUR 37k less from rate, because overservicing adds hours without adding fees; fixed-fee projects EUR 112k less from hours and EUR 3k less from rate; time and materials EUR 45k less from hours and EUR 10k more from rate; media management EUR 3k less in fees, as client media spend ran below the budgeted level. Rate effects include realisation and FX.</v>
      </c>
    </row>
    <row r="13" customFormat="false" ht="57" hidden="false" customHeight="true" outlineLevel="0" collapsed="false">
      <c r="B13" s="41" t="str">
        <f aca="false">"Costs: delivery payroll is EUR "&amp;TEXT(ABS(BvA!D20)/1000,"#,##0")&amp;"k "&amp;IF(BvA!D20&gt;=0,"better","worse")&amp;" than budget (a developer joined in April; a content producer left in May and was not replaced), freelancers EUR "&amp;TEXT(ABS(BvA!D21)/1000,"#,##0")&amp;"k "&amp;IF(BvA!D21&gt;=0,"better","worse")&amp;", leadership payroll and bonus EUR "&amp;TEXT(ABS(BvA!D24+BvA!D25)/1000,"#,##0")&amp;"k "&amp;IF(BvA!D24+BvA!D25&gt;=0,"better","worse")&amp;" and overheads within EUR "&amp;TEXT(ABS(BvA!D38-BvA!D24-BvA!D25-BvA!D37)/1000,"#,##0")&amp;"k of budget. A EUR "&amp;TEXT((ABS(BvA!B37)),"#,##0")&amp;" specific provision covers half of the disputed Norbeck change request CR-03. FX on client balances is a EUR "&amp;TEXT(ABS(BvA!B41)/1000,"#,##0")&amp;"k "&amp;IF(BvA!B41&gt;=0,"gain","loss")&amp;"."</f>
        <v>Costs: delivery payroll is EUR 25k better than budget (a developer joined in April; a content producer left in May and was not replaced), freelancers EUR 50k worse, leadership payroll and bonus EUR 1k better and overheads within EUR 8k of budget. A EUR 7,241 specific provision covers half of the disputed Norbeck change request CR-03. FX on client balances is a EUR 6k gain.</v>
      </c>
    </row>
    <row r="14" customFormat="false" ht="15" hidden="false" customHeight="false" outlineLevel="0" collapsed="false">
      <c r="B14" s="39" t="s">
        <v>229</v>
      </c>
      <c r="C14" s="40"/>
      <c r="D14" s="40"/>
      <c r="E14" s="40"/>
      <c r="F14" s="40"/>
    </row>
    <row r="15" customFormat="false" ht="43.5" hidden="false" customHeight="true" outlineLevel="0" collapsed="false">
      <c r="B15" s="41" t="str">
        <f aca="false">"Halvergate is "&amp;TEXT((Client_Profitability!F6),"0.0%")&amp;" of FY2026 net revenue and the top five clients "&amp;TEXT((Client_Profitability!$E$35),"0%")&amp;". Fully allocated, Halvergate contributes EUR "&amp;TEXT((Client_Profitability!P6)/1000,"#,##0")&amp;"k ("&amp;TEXT((Client_Profitability!Q6),"0%")&amp;") and Norbeck "&amp;IF(Client_Profitability!P15&lt;0,"loses EUR "&amp;TEXT(ABS(Client_Profitability!P15)/1000,"#,##0")&amp;"k","contributes EUR "&amp;TEXT((Client_Profitability!P15)/1000,"#,##0")&amp;"k")&amp;": the Norbeck website has taken "&amp;TEXT((Project_Register!$X$10),"#,##0")&amp;" hours to date against "&amp;TEXT((Project_Register!$I$10),"#,##0")&amp;" budgeted, a realisation of "&amp;TEXT((Client_Profitability!I15),"0%")&amp;" on the client, and its completion milestone only falls due in October."</f>
        <v>Halvergate is 18.7% of FY2026 net revenue and the top five clients 49%. Fully allocated, Halvergate contributes EUR 132k (18%) and Norbeck loses EUR 24k: the Norbeck website has taken 2,487 hours to date against 2,300 budgeted, a realisation of 61% on the client, and its completion milestone only falls due in October.</v>
      </c>
    </row>
    <row r="16" customFormat="false" ht="57" hidden="false" customHeight="true" outlineLevel="0" collapsed="false">
      <c r="B16" s="41" t="str">
        <f aca="false">"Overservicing: retainer teams worked "&amp;TEXT((SUMIFS(Retainers!$E$173:$AB$173,Assumptions!$E$100:$AB$100,"A")),"#,##0")&amp;" hours above scope year to date ("&amp;TEXT((SUMIFS(Retainers!$E$173:$AB$173,Assumptions!$E$100:$AB$100,"A")/SUMIFS(Retainers!$E$171:$AB$171,Assumptions!$E$100:$AB$100,"A")),"0%")&amp;"), EUR "&amp;TEXT((SUMIFS(Retainers!$E$174:$AB$174,Assumptions!$E$100:$AB$100,"A"))/1000,"#,##0")&amp;"k of payroll at standard cost. Voltaro ("&amp;TEXT(((SUMIFS(Retainers!$E$74:$AB$74,Assumptions!$E$100:$AB$100,"A")/SUMIFS(Retainers!$E$72:$AB$72,Assumptions!$E$100:$AB$100,"A"))),"0%")&amp;" over scope), Sarvivaara ("&amp;TEXT(((SUMIFS(Retainers!$E$104:$AB$104,Assumptions!$E$100:$AB$100,"A")/SUMIFS(Retainers!$E$102:$AB$102,Assumptions!$E$100:$AB$100,"A"))),"0%")&amp;") and Quillfield ("&amp;TEXT(((SUMIFS(Retainers!$E$54:$AB$54,Assumptions!$E$100:$AB$100,"A")/SUMIFS(Retainers!$E$52:$AB$52,Assumptions!$E$100:$AB$100,"A"))),"0%")&amp;") are the worst. The "&amp;Assumptions!$C$12&amp;" case "&amp;IF(Assumptions!$F$115&gt;=1,"assumes no improvement from the October scope reviews","assumes the October scope reviews remove "&amp;TEXT((1-Assumptions!$F$115),"0%")&amp;" of each client overservicing")&amp;"; Voltaro renews in December and should renew on its actual hours or a smaller scope."</f>
        <v>Overservicing: retainer teams worked 1,870 hours above scope year to date (13%), EUR 93k of payroll at standard cost. Voltaro (26% over scope), Sarvivaara (20%) and Quillfield (14%) are the worst. The Base case assumes the October scope reviews remove 30% of each client overservicing; Voltaro renews in December and should renew on its actual hours or a smaller scope.</v>
      </c>
    </row>
    <row r="17" customFormat="false" ht="57" hidden="false" customHeight="true" outlineLevel="0" collapsed="false">
      <c r="B17" s="41" t="str">
        <f aca="false">"Renewals: EUR "&amp;TEXT((Pipeline!D51)/1000,"#,##0")&amp;"k of annual retainer fees reach the end of their term within the next thirteen months; the "&amp;Assumptions!$C$12&amp;" case expects EUR "&amp;TEXT((Pipeline!G51)/1000,"#,##0")&amp;"k to be retained and puts EUR "&amp;TEXT((Pipeline!H51)/1000,"#,##0")&amp;"k at risk, including the EUR "&amp;TEXT((Pipeline!D40)/1000,"#,##0")&amp;"k already lost with Sarvivaara. Halvergate on 31 December is the single largest decision: EUR "&amp;TEXT((Pipeline!D41)/1000,"#,##0")&amp;"k of fees a year. New business year to date: "&amp;TEXT((Pipeline!D56),"0")&amp;" wins from "&amp;TEXT((Pipeline!D54),"0")&amp;" proposals, a win rate of "&amp;TEXT((Pipeline!D61),"0%")&amp;" by count and "&amp;TEXT((Pipeline!D62),"0%")&amp;" by value."</f>
        <v>Renewals: EUR 2,449k of annual retainer fees reach the end of their term within the next thirteen months; the Base case expects EUR 2,095k to be retained and puts EUR 354k at risk, including the EUR 162k already lost with Sarvivaara. Halvergate on 31 December is the single largest decision: EUR 589k of fees a year. New business year to date: 8 wins from 19 proposals, a win rate of 50% by count and 45% by value.</v>
      </c>
    </row>
    <row r="18" customFormat="false" ht="15" hidden="false" customHeight="false" outlineLevel="0" collapsed="false">
      <c r="B18" s="39" t="s">
        <v>230</v>
      </c>
      <c r="C18" s="40"/>
      <c r="D18" s="40"/>
      <c r="E18" s="40"/>
      <c r="F18" s="40"/>
    </row>
    <row r="19" customFormat="false" ht="57" hidden="false" customHeight="true" outlineLevel="0" collapsed="false">
      <c r="B19" s="41" t="str">
        <f aca="false">"Utilisation of productive hours is "&amp;TEXT((SUMIFS(Utilisation!$E$76:$AB$76,Assumptions!$E$100:$AB$100,"A")/SUMIFS(Utilisation!$E$74:$AB$74,Assumptions!$E$100:$AB$100,"A")),"0%")&amp;" year to date against the "&amp;TEXT((Assumptions!$C$31),"0%")&amp;" the standard cost rates assume, so EUR "&amp;TEXT(ABS(SUMIFS(Utilisation!$E$86:$AB$86,Assumptions!$E$100:$AB$100,"A"))/1000,"#,##0")&amp;"k of delivery payroll was not recovered in client work. The spread matters more than the average: development ran at "&amp;TEXT(((SUMIFS(Utilisation!$E$51:$AB$51,Assumptions!$E$100:$AB$100,"A")/SUMIFS(Utilisation!$E$49:$AB$49,Assumptions!$E$100:$AB$100,"A"))),"0%")&amp;" and bought "&amp;TEXT((SUMIFS(Utilisation!$E$52:$AB$52,Assumptions!$E$100:$AB$100,"A")),"#,##0")&amp;" freelancer hours, performance marketing at "&amp;TEXT(((SUMIFS(Utilisation!$E$59:$AB$59,Assumptions!$E$100:$AB$100,"A")/SUMIFS(Utilisation!$E$57:$AB$57,Assumptions!$E$100:$AB$100,"A"))),"0%")&amp;", while content ran at "&amp;TEXT(((SUMIFS(Utilisation!$E$43:$AB$43,Assumptions!$E$100:$AB$100,"A")/SUMIFS(Utilisation!$E$41:$AB$41,Assumptions!$E$100:$AB$100,"A"))),"0%")&amp;" and strategy and account management at "&amp;TEXT(((SUMIFS(Utilisation!$E$27:$AB$27,Assumptions!$E$100:$AB$100,"A")/SUMIFS(Utilisation!$E$25:$AB$25,Assumptions!$E$100:$AB$100,"A"))),"0%")&amp;". Moving one content role into design production would cut freelancer spend without a new hire."</f>
        <v>Utilisation of productive hours is 71% year to date against the 75% the standard cost rates assume, so EUR 96k of delivery payroll was not recovered in client work. The spread matters more than the average: development ran at 82% and bought 787 freelancer hours, performance marketing at 85%, while content ran at 53% and strategy and account management at 54%. Moving one content role into design production would cut freelancer spend without a new hire.</v>
      </c>
    </row>
    <row r="20" customFormat="false" ht="57" hidden="false" customHeight="true" outlineLevel="0" collapsed="false">
      <c r="B20" s="41" t="str">
        <f aca="false">"People costs (payroll, bonus and freelancers) are "&amp;TEXT((PL!$C$53),"0%")&amp;" of FY2026 net revenue and net revenue per head is EUR "&amp;TEXT((People!$C$49)/1000,"#,##0")&amp;"k. The hiring plan adds a developer in October for the Quillfield campaign and a performance specialist in November; the January developer and the March designer are tied to Ferncliff and Brackenholt and sit in the forecast at their win "&amp;"probabilities. The rule should hold in practice: no delivery hire before the work behind it is signed."</f>
        <v>People costs (payroll, bonus and freelancers) are 74% of FY2026 net revenue and net revenue per head is EUR 103k. The hiring plan adds a developer in October for the Quillfield campaign and a performance specialist in November; the January developer and the March designer are tied to Ferncliff and Brackenholt and sit in the forecast at their win probabilities. The rule should hold in practice: no delivery hire before the work behind it is signed.</v>
      </c>
    </row>
    <row r="21" customFormat="false" ht="15" hidden="false" customHeight="false" outlineLevel="0" collapsed="false">
      <c r="B21" s="39" t="s">
        <v>231</v>
      </c>
      <c r="C21" s="40"/>
      <c r="D21" s="40"/>
      <c r="E21" s="40"/>
      <c r="F21" s="40"/>
    </row>
    <row r="22" customFormat="false" ht="57" hidden="false" customHeight="true" outlineLevel="0" collapsed="false">
      <c r="B22" s="41" t="str">
        <f aca="false">"Working capital at "&amp;TEXT(Assumptions!$C$9,"mmm-yy")&amp;": receivables EUR "&amp;TEXT((INDEX(BS!$E$10:$AB$10,Assumptions!$C$10))/1000,"#,##0")&amp;"k ("&amp;TEXT((INDEX(Receivables!$E$21:$AB$21,Assumptions!$C$10)),"0")&amp;" debtor days), unbilled work EUR "&amp;TEXT((INDEX(BS!$E$11:$AB$11,Assumptions!$C$10))/1000,"#,##0")&amp;"k (mostly Norbeck and Van Lienden between milestones), invoiced in advance EUR "&amp;TEXT((INDEX(BS!$E$22:$AB$22,Assumptions!$C$10))/1000,"#,##0")&amp;"k. Media is the structural pressure: the agency pays the platforms in about 30 days and rebills media at cost, so every media client on longer terms is funded by the agency. Harrowgate, on 60 days, owes EUR "&amp;TEXT((INDEX(Clients!$E$203:$AB$203,Assumptions!$C$10))/1000,"#,##0")&amp;"k against EUR "&amp;TEXT((INDEX(BS!$E$17:$AB$17,Assumptions!$C$10))/1000,"#,##0")&amp;"k owed to the platforms for all clients."</f>
        <v>Working capital at Aug-26: receivables EUR 600k (32 debtor days), unbilled work EUR 138k (mostly Norbeck and Van Lienden between milestones), invoiced in advance EUR 34k. Media is the structural pressure: the agency pays the platforms in about 30 days and rebills media at cost, so every media client on longer terms is funded by the agency. Harrowgate, on 60 days, owes EUR 196k against EUR 235k owed to the platforms for all clients.</v>
      </c>
    </row>
    <row r="23" customFormat="false" ht="57" hidden="false" customHeight="true" outlineLevel="0" collapsed="false">
      <c r="B23" s="41" t="str">
        <f aca="false">"The 13 weeks from 12-Sep: opening cash EUR "&amp;TEXT((Cash_13W!C54)/1000,"#,##0")&amp;"k, receipts EUR "&amp;TEXT((Cash_13W!U37)/1000,"#,##0")&amp;"k, payments EUR "&amp;TEXT(ABS(Cash_13W!U51)/1000,"#,##0")&amp;"k, closing EUR "&amp;TEXT((Cash_13W!T55)/1000,"#,##0")&amp;"k on 11-Dec. Net salaries leave on the last banking day and the TSD payroll taxes on the 10th, so the ten days from the last banking day to the 10th are the pinch point; EUR "&amp;TEXT((Cash_13W!C66)/1000,"#,##0")&amp;"k of tax leaves in the window. The forecast reconciles to the December balance sheet to the euro."</f>
        <v>The 13 weeks from 12-Sep: opening cash EUR 437k, receipts EUR 1,865k, payments EUR 1,617k, closing EUR 685k on 11-Dec. Net salaries leave on the last banking day and the TSD payroll taxes on the 10th, so the ten days from the last banking day to the 10th are the pinch point; EUR 272k of tax leaves in the window. The forecast reconciles to the December balance sheet to the euro.</v>
      </c>
    </row>
    <row r="24" customFormat="false" ht="43.5" hidden="false" customHeight="true" outlineLevel="0" collapsed="false">
      <c r="B24" s="41" t="str">
        <f aca="false">"FX: "&amp;TEXT((FX!$C$78+FX!$C$79),"0%")&amp;" of FY2026 revenue is invoiced in pounds and dollars ("&amp;TEXT((FX!$C$78),"0%")&amp;" GBP, "&amp;TEXT((FX!$C$79),"0%")&amp;" USD) while almost every cost is in euro. A 5% weaker pound and dollar would cost EUR "&amp;TEXT(ABS(INDEX(FX!$E$80:$AB$80,Assumptions!$C$10))/1000,"#,##0")&amp;"k on the balances held at "&amp;TEXT(Assumptions!$C$9,"mmm-yy")&amp;" and about EUR "&amp;TEXT(((FX!$D$35+FX!$D$51)*(1-1/1.05))/1000,"#,##0")&amp;"k of FY2027 revenue. The Downside assumes a 4% move."</f>
        <v>FX: 68% of FY2026 revenue is invoiced in pounds and dollars (49% GBP, 19% USD) while almost every cost is in euro. A 5% weaker pound and dollar would cost EUR 26k on the balances held at Aug-26 and about EUR 114k of FY2027 revenue. The Downside assumes a 4% move.</v>
      </c>
    </row>
    <row r="25" customFormat="false" ht="15" hidden="false" customHeight="false" outlineLevel="0" collapsed="false">
      <c r="B25" s="39" t="s">
        <v>232</v>
      </c>
      <c r="C25" s="40"/>
      <c r="D25" s="40"/>
      <c r="E25" s="40"/>
      <c r="F25" s="40"/>
    </row>
    <row r="26" customFormat="false" ht="70.5" hidden="false" customHeight="true" outlineLevel="0" collapsed="false">
      <c r="B26" s="41" t="str">
        <f aca="false">"Base: FY2027 net revenue EUR "&amp;TEXT((Scenarios!C10)/1000,"#,##0")&amp;"k, "&amp;IF(Scenarios!C16&lt;0,"an EBITDA loss of EUR "&amp;TEXT(ABS(Scenarios!C16)/1000,"#,##0")&amp;"k","EBITDA of EUR "&amp;TEXT((Scenarios!C16)/1000,"#,##0")&amp;"k")&amp;" ("&amp;TEXT((Scenarios!C17),"0.0%")&amp;"), lowest cash "&amp;IF(Scenarios!C21&lt;0,"an overdrawn EUR "&amp;TEXT(ABS(Scenarios!C21)/1000,"#,##0")&amp;"k","EUR "&amp;TEXT((Scenarios!C21)/1000,"#,##0")&amp;"k")&amp;". Downside (Halvergate leaves at renewal, lower renewal and win rates, no fee increases, pound and dollar 4% weaker, clients 15 days slower, hiring frozen and a "&amp;TEXT((Assumptions!$D$128),"0")&amp;"-person capacity cut from Mar-27): FY2027 net revenue EUR "&amp;TEXT((Scenarios!D10)/1000,"#,##0")&amp;"k, "&amp;IF(Scenarios!D16&lt;0,"an EBITDA loss of EUR "&amp;TEXT(ABS(Scenarios!D16)/1000,"#,##0")&amp;"k","EBITDA of EUR "&amp;TEXT((Scenarios!D16)/1000,"#,##0")&amp;"k")&amp;", lowest cash "&amp;IF(Scenarios!D21&lt;0,"an overdrawn EUR "&amp;TEXT(ABS(Scenarios!D21)/1000,"#,##0")&amp;"k","EUR "&amp;TEXT((Scenarios!D21)/1000,"#,##0")&amp;"k")&amp;". Upside: FY2027 net revenue EUR "&amp;TEXT((Scenarios!E10)/1000,"#,##0")&amp;"k, "&amp;IF(Scenarios!E16&lt;0,"an EBITDA loss of EUR "&amp;TEXT(ABS(Scenarios!E16)/1000,"#,##0")&amp;"k","EBITDA of EUR "&amp;TEXT((Scenarios!E16)/1000,"#,##0")&amp;"k")&amp;" ("&amp;TEXT((Scenarios!E17),"0.0%")&amp;")."</f>
        <v>Base: FY2027 net revenue EUR 4,189k, EBITDA of EUR 539k (12.9%), lowest cash EUR 339k. Downside (Halvergate leaves at renewal, lower renewal and win rates, no fee increases, pound and dollar 4% weaker, clients 15 days slower, hiring frozen and a 4-person capacity cut from Mar-27): FY2027 net revenue EUR 2,837k, an EBITDA loss of EUR 170k, lowest cash EUR 50k. Upside: FY2027 net revenue EUR 4,808k, EBITDA of EUR 1,081k (22.5%).</v>
      </c>
    </row>
    <row r="27" customFormat="false" ht="43.5" hidden="false" customHeight="true" outlineLevel="0" collapsed="false">
      <c r="B27" s="41" t="str">
        <f aca="false">"The Downside is the case to plan for, not to hope against: it takes EUR "&amp;TEXT((Scenarios!C10-Scenarios!D10)/1000,"#,##0")&amp;"k out of FY2027 net revenue, Halvergate the largest part, and cash falls EUR "&amp;TEXT(ABS(MIN(0,Scenarios!D23))/1000,"#,##0")&amp;"k below the buffer even after the capacity cut. Triggers, reviewed monthly: Halvergate renewal not signed by 30 November; utilisation below 65% for two months; overservicing above 12% of scope; Harrowgate or any media balance past due."</f>
        <v>The Downside is the case to plan for, not to hope against: it takes EUR 1,352k out of FY2027 net revenue, Halvergate the largest part, and cash falls EUR 300k below the buffer even after the capacity cut. Triggers, reviewed monthly: Halvergate renewal not signed by 30 November; utilisation below 65% for two months; overservicing above 12% of scope; Harrowgate or any media balance past due.</v>
      </c>
    </row>
    <row r="28" customFormat="false" ht="15" hidden="false" customHeight="false" outlineLevel="0" collapsed="false">
      <c r="B28" s="39" t="s">
        <v>233</v>
      </c>
      <c r="C28" s="40"/>
      <c r="D28" s="40"/>
      <c r="E28" s="40"/>
      <c r="F28" s="40"/>
    </row>
    <row r="29" customFormat="false" ht="15" hidden="false" customHeight="false" outlineLevel="0" collapsed="false">
      <c r="B29" s="42" t="s">
        <v>234</v>
      </c>
      <c r="C29" s="43" t="s">
        <v>235</v>
      </c>
      <c r="D29" s="43" t="s">
        <v>236</v>
      </c>
      <c r="E29" s="43" t="s">
        <v>237</v>
      </c>
      <c r="F29" s="43" t="s">
        <v>238</v>
      </c>
    </row>
    <row r="30" customFormat="false" ht="57" hidden="false" customHeight="true" outlineLevel="0" collapsed="false">
      <c r="B30" s="41" t="str">
        <f aca="false">"Client concentration: Halvergate is "&amp;TEXT((Client_Profitability!F6),"0%")&amp;" of FY2026 net revenue and renews on 31 December; the top five clients are "&amp;TEXT((Client_Profitability!$E$35),"0%")&amp;"."</f>
        <v>Client concentration: Halvergate is 19% of FY2026 net revenue and renews on 31 December; the top five clients are 49%.</v>
      </c>
      <c r="C30" s="44" t="n">
        <v>3</v>
      </c>
      <c r="D30" s="44" t="n">
        <v>5</v>
      </c>
      <c r="E30" s="45" t="n">
        <f aca="false">C30*D30</f>
        <v>15</v>
      </c>
      <c r="F30" s="46" t="s">
        <v>239</v>
      </c>
    </row>
    <row r="31" customFormat="false" ht="43.5" hidden="false" customHeight="true" outlineLevel="0" collapsed="false">
      <c r="B31" s="41" t="str">
        <f aca="false">"Cash buffer: forecast low of "&amp;IF(Scenarios!F21&lt;0,"an overdrawn EUR "&amp;TEXT(ABS(Scenarios!F21)/1000,"#,##0")&amp;"k","EUR "&amp;TEXT((Scenarios!F21)/1000,"#,##0")&amp;"k")&amp;" against the EUR "&amp;TEXT((Assumptions!$C$13)/1000,"#,##0")&amp;"k buffer; media is paid before clients pay"</f>
        <v>Cash buffer: forecast low of EUR 339k against the EUR 350k buffer; media is paid before clients pay</v>
      </c>
      <c r="C31" s="44" t="n">
        <v>3</v>
      </c>
      <c r="D31" s="44" t="n">
        <v>4</v>
      </c>
      <c r="E31" s="45" t="n">
        <f aca="false">C31*D31</f>
        <v>12</v>
      </c>
      <c r="F31" s="46" t="s">
        <v>240</v>
      </c>
    </row>
    <row r="32" customFormat="false" ht="43.5" hidden="false" customHeight="true" outlineLevel="0" collapsed="false">
      <c r="B32" s="41" t="str">
        <f aca="false">"Overservicing: "&amp;TEXT((SUMIFS(Retainers!$E$173:$AB$173,Assumptions!$E$100:$AB$100,"A")/SUMIFS(Retainers!$E$171:$AB$171,Assumptions!$E$100:$AB$100,"A")),"0%")&amp;" of scoped retainer hours given away (EUR "&amp;TEXT((SUMIFS(Retainers!$E$174:$AB$174,Assumptions!$E$100:$AB$100,"A"))/1000,"#,##0")&amp;"k at standard cost)"</f>
        <v>Overservicing: 13% of scoped retainer hours given away (EUR 93k at standard cost)</v>
      </c>
      <c r="C32" s="44" t="n">
        <v>4</v>
      </c>
      <c r="D32" s="44" t="n">
        <v>3</v>
      </c>
      <c r="E32" s="45" t="n">
        <f aca="false">C32*D32</f>
        <v>12</v>
      </c>
      <c r="F32" s="46" t="s">
        <v>241</v>
      </c>
    </row>
    <row r="33" customFormat="false" ht="43.5" hidden="false" customHeight="true" outlineLevel="0" collapsed="false">
      <c r="B33" s="41" t="str">
        <f aca="false">"Norbeck: project at "&amp;TEXT((Client_Profitability!I15),"0%")&amp;" realisation and CR-03 (USD "&amp;TEXT((Assumptions!$C$95),"#,##0")&amp;") disputed"</f>
        <v>Norbeck: project at 61% realisation and CR-03 (USD 16,500) disputed</v>
      </c>
      <c r="C33" s="44" t="n">
        <v>4</v>
      </c>
      <c r="D33" s="44" t="n">
        <v>2</v>
      </c>
      <c r="E33" s="45" t="n">
        <f aca="false">C33*D33</f>
        <v>8</v>
      </c>
      <c r="F33" s="46" t="s">
        <v>242</v>
      </c>
    </row>
    <row r="34" customFormat="false" ht="43.5" hidden="false" customHeight="true" outlineLevel="0" collapsed="false">
      <c r="B34" s="41" t="str">
        <f aca="false">"Capacity mismatch: development at "&amp;TEXT(((SUMIFS(Utilisation!$E$51:$AB$51,Assumptions!$E$100:$AB$100,"A")/SUMIFS(Utilisation!$E$49:$AB$49,Assumptions!$E$100:$AB$100,"A"))),"0%")&amp;" and content at "&amp;TEXT(((SUMIFS(Utilisation!$E$43:$AB$43,Assumptions!$E$100:$AB$100,"A")/SUMIFS(Utilisation!$E$41:$AB$41,Assumptions!$E$100:$AB$100,"A"))),"0%")&amp;" utilisation"</f>
        <v>Capacity mismatch: development at 82% and content at 53% utilisation</v>
      </c>
      <c r="C34" s="44" t="n">
        <v>3</v>
      </c>
      <c r="D34" s="44" t="n">
        <v>3</v>
      </c>
      <c r="E34" s="45" t="n">
        <f aca="false">C34*D34</f>
        <v>9</v>
      </c>
      <c r="F34" s="46" t="s">
        <v>243</v>
      </c>
    </row>
    <row r="35" customFormat="false" ht="43.5" hidden="false" customHeight="true" outlineLevel="0" collapsed="false">
      <c r="B35" s="41" t="str">
        <f aca="false">"Pipeline dependency: "&amp;TEXT((Scenarios!F28),"0%")&amp;" of FY2027 fee revenue not yet won"</f>
        <v>Pipeline dependency: 28% of FY2027 fee revenue not yet won</v>
      </c>
      <c r="C35" s="44" t="n">
        <v>3</v>
      </c>
      <c r="D35" s="44" t="n">
        <v>4</v>
      </c>
      <c r="E35" s="45" t="n">
        <f aca="false">C35*D35</f>
        <v>12</v>
      </c>
      <c r="F35" s="46" t="s">
        <v>244</v>
      </c>
    </row>
    <row r="36" customFormat="false" ht="57" hidden="false" customHeight="true" outlineLevel="0" collapsed="false">
      <c r="B36" s="41" t="str">
        <f aca="false">"FX: "&amp;TEXT((FX!$C$78+FX!$C$79),"0%")&amp;" of revenue in GBP and USD against euro costs"</f>
        <v>FX: 68% of revenue in GBP and USD against euro costs</v>
      </c>
      <c r="C36" s="44" t="n">
        <v>3</v>
      </c>
      <c r="D36" s="44" t="n">
        <v>3</v>
      </c>
      <c r="E36" s="45" t="n">
        <f aca="false">C36*D36</f>
        <v>9</v>
      </c>
      <c r="F36" s="46" t="s">
        <v>245</v>
      </c>
    </row>
    <row r="37" customFormat="false" ht="30" hidden="false" customHeight="true" outlineLevel="0" collapsed="false">
      <c r="B37" s="41" t="s">
        <v>246</v>
      </c>
      <c r="C37" s="44" t="n">
        <v>3</v>
      </c>
      <c r="D37" s="44" t="n">
        <v>3</v>
      </c>
      <c r="E37" s="45" t="n">
        <f aca="false">C37*D37</f>
        <v>9</v>
      </c>
      <c r="F37" s="46" t="s">
        <v>247</v>
      </c>
    </row>
    <row r="38" customFormat="false" ht="43.5" hidden="false" customHeight="true" outlineLevel="0" collapsed="false">
      <c r="B38" s="41" t="str">
        <f aca="false">"Credit exposure: Harrowgate owes EUR "&amp;TEXT((INDEX(Clients!$E$203:$AB$203,Assumptions!$C$10))/1000,"#,##0")&amp;"k on 60-day terms, mostly media already paid for"</f>
        <v>Credit exposure: Harrowgate owes EUR 196k on 60-day terms, mostly media already paid for</v>
      </c>
      <c r="C38" s="44" t="n">
        <v>2</v>
      </c>
      <c r="D38" s="44" t="n">
        <v>4</v>
      </c>
      <c r="E38" s="45" t="n">
        <f aca="false">C38*D38</f>
        <v>8</v>
      </c>
      <c r="F38" s="46" t="s">
        <v>248</v>
      </c>
    </row>
    <row r="39" customFormat="false" ht="43.5" hidden="false" customHeight="true" outlineLevel="0" collapsed="false">
      <c r="B39" s="41" t="s">
        <v>249</v>
      </c>
      <c r="C39" s="44" t="n">
        <v>2</v>
      </c>
      <c r="D39" s="44" t="n">
        <v>4</v>
      </c>
      <c r="E39" s="45" t="n">
        <f aca="false">C39*D39</f>
        <v>8</v>
      </c>
      <c r="F39" s="46" t="s">
        <v>250</v>
      </c>
    </row>
    <row r="41" customFormat="false" ht="15" hidden="false" customHeight="false" outlineLevel="0" collapsed="false">
      <c r="B41" s="39" t="s">
        <v>251</v>
      </c>
      <c r="C41" s="40"/>
      <c r="D41" s="40"/>
      <c r="E41" s="40"/>
      <c r="F41" s="40"/>
    </row>
    <row r="42" customFormat="false" ht="15" hidden="false" customHeight="false" outlineLevel="0" collapsed="false">
      <c r="B42" s="42" t="s">
        <v>252</v>
      </c>
      <c r="C42" s="43" t="s">
        <v>253</v>
      </c>
      <c r="D42" s="43" t="s">
        <v>254</v>
      </c>
      <c r="E42" s="43" t="s">
        <v>152</v>
      </c>
      <c r="F42" s="43" t="s">
        <v>255</v>
      </c>
    </row>
    <row r="43" customFormat="false" ht="30" hidden="false" customHeight="true" outlineLevel="0" collapsed="false">
      <c r="B43" s="41" t="s">
        <v>256</v>
      </c>
      <c r="C43" s="46" t="s">
        <v>257</v>
      </c>
      <c r="D43" s="47" t="n">
        <v>46356</v>
      </c>
      <c r="E43" s="44" t="s">
        <v>258</v>
      </c>
      <c r="F43" s="46" t="s">
        <v>259</v>
      </c>
    </row>
    <row r="44" customFormat="false" ht="43.5" hidden="false" customHeight="true" outlineLevel="0" collapsed="false">
      <c r="B44" s="41" t="s">
        <v>260</v>
      </c>
      <c r="C44" s="46" t="s">
        <v>261</v>
      </c>
      <c r="D44" s="47" t="n">
        <v>46326</v>
      </c>
      <c r="E44" s="44" t="s">
        <v>258</v>
      </c>
      <c r="F44" s="46" t="s">
        <v>262</v>
      </c>
    </row>
    <row r="45" customFormat="false" ht="30" hidden="false" customHeight="true" outlineLevel="0" collapsed="false">
      <c r="B45" s="41" t="s">
        <v>263</v>
      </c>
      <c r="C45" s="46" t="s">
        <v>257</v>
      </c>
      <c r="D45" s="47" t="n">
        <v>46326</v>
      </c>
      <c r="E45" s="44" t="s">
        <v>258</v>
      </c>
      <c r="F45" s="46" t="s">
        <v>264</v>
      </c>
    </row>
    <row r="46" customFormat="false" ht="43.5" hidden="false" customHeight="true" outlineLevel="0" collapsed="false">
      <c r="B46" s="41" t="s">
        <v>265</v>
      </c>
      <c r="C46" s="46" t="s">
        <v>266</v>
      </c>
      <c r="D46" s="47" t="n">
        <v>46295</v>
      </c>
      <c r="E46" s="44" t="s">
        <v>267</v>
      </c>
      <c r="F46" s="46" t="s">
        <v>268</v>
      </c>
    </row>
    <row r="47" customFormat="false" ht="43.5" hidden="false" customHeight="true" outlineLevel="0" collapsed="false">
      <c r="B47" s="41" t="s">
        <v>269</v>
      </c>
      <c r="C47" s="46" t="s">
        <v>266</v>
      </c>
      <c r="D47" s="47" t="n">
        <v>46310</v>
      </c>
      <c r="E47" s="44" t="s">
        <v>258</v>
      </c>
      <c r="F47" s="46" t="s">
        <v>270</v>
      </c>
    </row>
    <row r="48" customFormat="false" ht="43.5" hidden="false" customHeight="true" outlineLevel="0" collapsed="false">
      <c r="B48" s="41" t="s">
        <v>271</v>
      </c>
      <c r="C48" s="46" t="s">
        <v>261</v>
      </c>
      <c r="D48" s="47" t="n">
        <v>46310</v>
      </c>
      <c r="E48" s="44" t="s">
        <v>258</v>
      </c>
      <c r="F48" s="46" t="s">
        <v>272</v>
      </c>
    </row>
    <row r="49" customFormat="false" ht="30" hidden="false" customHeight="true" outlineLevel="0" collapsed="false">
      <c r="B49" s="41" t="s">
        <v>273</v>
      </c>
      <c r="C49" s="46" t="s">
        <v>257</v>
      </c>
      <c r="D49" s="47" t="n">
        <v>46371</v>
      </c>
      <c r="E49" s="44" t="s">
        <v>258</v>
      </c>
      <c r="F49" s="46" t="s">
        <v>274</v>
      </c>
    </row>
    <row r="50" customFormat="false" ht="43.5" hidden="false" customHeight="true" outlineLevel="0" collapsed="false">
      <c r="B50" s="41" t="s">
        <v>275</v>
      </c>
      <c r="C50" s="46" t="s">
        <v>266</v>
      </c>
      <c r="D50" s="47" t="n">
        <v>46356</v>
      </c>
      <c r="E50" s="44" t="s">
        <v>258</v>
      </c>
      <c r="F50" s="46" t="s">
        <v>276</v>
      </c>
    </row>
    <row r="51" customFormat="false" ht="30" hidden="false" customHeight="true" outlineLevel="0" collapsed="false">
      <c r="B51" s="41" t="s">
        <v>277</v>
      </c>
      <c r="C51" s="46" t="s">
        <v>278</v>
      </c>
      <c r="D51" s="47" t="n">
        <v>46310</v>
      </c>
      <c r="E51" s="44" t="s">
        <v>258</v>
      </c>
      <c r="F51" s="46" t="s">
        <v>279</v>
      </c>
    </row>
    <row r="53" customFormat="false" ht="15" hidden="false" customHeight="false" outlineLevel="0" collapsed="false">
      <c r="B53" s="39" t="s">
        <v>280</v>
      </c>
      <c r="C53" s="40"/>
      <c r="D53" s="40"/>
      <c r="E53" s="40"/>
      <c r="F53" s="40"/>
    </row>
    <row r="54" customFormat="false" ht="16.5" hidden="false" customHeight="true" outlineLevel="0" collapsed="false">
      <c r="B54" s="41" t="s">
        <v>281</v>
      </c>
    </row>
    <row r="55" customFormat="false" ht="16.5" hidden="false" customHeight="true" outlineLevel="0" collapsed="false">
      <c r="B55" s="41" t="s">
        <v>282</v>
      </c>
    </row>
    <row r="56" customFormat="false" ht="16.5" hidden="false" customHeight="true" outlineLevel="0" collapsed="false">
      <c r="B56" s="41" t="s">
        <v>283</v>
      </c>
    </row>
    <row r="57" customFormat="false" ht="16.5" hidden="false" customHeight="true" outlineLevel="0" collapsed="false">
      <c r="B57" s="41" t="s">
        <v>284</v>
      </c>
    </row>
    <row r="58" customFormat="false" ht="16.5" hidden="false" customHeight="true" outlineLevel="0" collapsed="false">
      <c r="B58" s="41" t="s">
        <v>285</v>
      </c>
    </row>
    <row r="59" customFormat="false" ht="16.5" hidden="false" customHeight="true" outlineLevel="0" collapsed="false">
      <c r="B59" s="41" t="s">
        <v>286</v>
      </c>
    </row>
    <row r="61" customFormat="false" ht="16.5" hidden="false" customHeight="true" outlineLevel="0" collapsed="false">
      <c r="B61" s="48" t="str">
        <f aca="false">"Prepared by BriQs Group for the directors of "&amp;Assumptions!$C$6&amp;". Model status at the time of preparation: "&amp;Checks!E46&amp;"."</f>
        <v>Prepared by BriQs Group for the directors of Kaldmere Studio OÜ (fictional demonstration company). Model status at the time of preparation: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287</v>
      </c>
    </row>
    <row r="3" customFormat="false" ht="15" hidden="false" customHeight="false" outlineLevel="0" collapsed="false">
      <c r="A3" s="49" t="s">
        <v>288</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297</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298</v>
      </c>
      <c r="B9" s="58" t="s">
        <v>30</v>
      </c>
      <c r="C9" s="59" t="n">
        <f aca="false">SUM(E9:P9)</f>
        <v>3937675.92120047</v>
      </c>
      <c r="D9" s="59" t="n">
        <f aca="false">SUM(Q9:AB9)</f>
        <v>4189215.86774153</v>
      </c>
      <c r="E9" s="60" t="n">
        <f aca="false">PL!E16</f>
        <v>284790.937616928</v>
      </c>
      <c r="F9" s="60" t="n">
        <f aca="false">PL!F16</f>
        <v>263475.84349698</v>
      </c>
      <c r="G9" s="60" t="n">
        <f aca="false">PL!G16</f>
        <v>280968.708008925</v>
      </c>
      <c r="H9" s="60" t="n">
        <f aca="false">PL!H16</f>
        <v>305539.89893674</v>
      </c>
      <c r="I9" s="60" t="n">
        <f aca="false">PL!I16</f>
        <v>322408.500452097</v>
      </c>
      <c r="J9" s="60" t="n">
        <f aca="false">PL!J16</f>
        <v>356354.427403447</v>
      </c>
      <c r="K9" s="60" t="n">
        <f aca="false">PL!K16</f>
        <v>357534.525114018</v>
      </c>
      <c r="L9" s="60" t="n">
        <f aca="false">PL!L16</f>
        <v>377111.308778516</v>
      </c>
      <c r="M9" s="60" t="n">
        <f aca="false">PL!M16</f>
        <v>382544.251417489</v>
      </c>
      <c r="N9" s="60" t="n">
        <f aca="false">PL!N16</f>
        <v>363221.019798811</v>
      </c>
      <c r="O9" s="60" t="n">
        <f aca="false">PL!O16</f>
        <v>342046.303079802</v>
      </c>
      <c r="P9" s="60" t="n">
        <f aca="false">PL!P16</f>
        <v>301680.197096719</v>
      </c>
      <c r="Q9" s="60" t="n">
        <f aca="false">PL!Q16</f>
        <v>309181.709399497</v>
      </c>
      <c r="R9" s="60" t="n">
        <f aca="false">PL!R16</f>
        <v>335204.058516579</v>
      </c>
      <c r="S9" s="60" t="n">
        <f aca="false">PL!S16</f>
        <v>362074.469470508</v>
      </c>
      <c r="T9" s="60" t="n">
        <f aca="false">PL!T16</f>
        <v>375776.388852244</v>
      </c>
      <c r="U9" s="60" t="n">
        <f aca="false">PL!U16</f>
        <v>374765.658677564</v>
      </c>
      <c r="V9" s="60" t="n">
        <f aca="false">PL!V16</f>
        <v>363092.708068696</v>
      </c>
      <c r="W9" s="60" t="n">
        <f aca="false">PL!W16</f>
        <v>353507.006151725</v>
      </c>
      <c r="X9" s="60" t="n">
        <f aca="false">PL!X16</f>
        <v>348107.070842298</v>
      </c>
      <c r="Y9" s="60" t="n">
        <f aca="false">PL!Y16</f>
        <v>336724.456014287</v>
      </c>
      <c r="Z9" s="60" t="n">
        <f aca="false">PL!Z16</f>
        <v>350703.15206873</v>
      </c>
      <c r="AA9" s="60" t="n">
        <f aca="false">PL!AA16</f>
        <v>352071.613971338</v>
      </c>
      <c r="AB9" s="60" t="n">
        <f aca="false">PL!AB16</f>
        <v>328007.575708065</v>
      </c>
    </row>
    <row r="10" customFormat="false" ht="15" hidden="false" customHeight="false" outlineLevel="0" collapsed="false">
      <c r="A10" s="28" t="s">
        <v>299</v>
      </c>
      <c r="B10" s="58"/>
      <c r="D10" s="61" t="n">
        <f aca="false">IF(C9=0,0,D9/C9-1)</f>
        <v>0.0638803069563865</v>
      </c>
      <c r="Q10" s="62" t="n">
        <f aca="false">IF(E9=0,0,Q9/E9-1)</f>
        <v>0.0856444800760383</v>
      </c>
      <c r="R10" s="62" t="n">
        <f aca="false">IF(F9=0,0,R9/F9-1)</f>
        <v>0.272238297323913</v>
      </c>
      <c r="S10" s="62" t="n">
        <f aca="false">IF(G9=0,0,S9/G9-1)</f>
        <v>0.288664748599003</v>
      </c>
      <c r="T10" s="62" t="n">
        <f aca="false">IF(H9=0,0,T9/H9-1)</f>
        <v>0.229876654930903</v>
      </c>
      <c r="U10" s="62" t="n">
        <f aca="false">IF(I9=0,0,U9/I9-1)</f>
        <v>0.162393851750338</v>
      </c>
      <c r="V10" s="62" t="n">
        <f aca="false">IF(J9=0,0,V9/J9-1)</f>
        <v>0.0189089292768077</v>
      </c>
      <c r="W10" s="62" t="n">
        <f aca="false">IF(K9=0,0,W9/K9-1)</f>
        <v>-0.0112646994328993</v>
      </c>
      <c r="X10" s="62" t="n">
        <f aca="false">IF(L9=0,0,X9/L9-1)</f>
        <v>-0.0769116100765177</v>
      </c>
      <c r="Y10" s="62" t="n">
        <f aca="false">IF(M9=0,0,Y9/M9-1)</f>
        <v>-0.119776457843556</v>
      </c>
      <c r="Z10" s="62" t="n">
        <f aca="false">IF(N9=0,0,Z9/N9-1)</f>
        <v>-0.0344635003145333</v>
      </c>
      <c r="AA10" s="62" t="n">
        <f aca="false">IF(O9=0,0,AA9/O9-1)</f>
        <v>0.0293098063077057</v>
      </c>
      <c r="AB10" s="62" t="n">
        <f aca="false">IF(P9=0,0,AB9/P9-1)</f>
        <v>0.0872691640509145</v>
      </c>
    </row>
    <row r="11" customFormat="false" ht="15" hidden="false" customHeight="false" outlineLevel="0" collapsed="false">
      <c r="A11" s="28" t="s">
        <v>300</v>
      </c>
      <c r="B11" s="58" t="s">
        <v>30</v>
      </c>
      <c r="C11" s="61" t="n">
        <f aca="false">PL!C23</f>
        <v>0.397167058760506</v>
      </c>
      <c r="D11" s="61" t="n">
        <f aca="false">PL!D23</f>
        <v>0.387677004485729</v>
      </c>
      <c r="E11" s="63" t="n">
        <f aca="false">PL!E23</f>
        <v>0.356781702631287</v>
      </c>
      <c r="F11" s="63" t="n">
        <f aca="false">PL!F23</f>
        <v>0.304367172461103</v>
      </c>
      <c r="G11" s="63" t="n">
        <f aca="false">PL!G23</f>
        <v>0.339875883993073</v>
      </c>
      <c r="H11" s="63" t="n">
        <f aca="false">PL!H23</f>
        <v>0.368461976090555</v>
      </c>
      <c r="I11" s="63" t="n">
        <f aca="false">PL!I23</f>
        <v>0.432701892960247</v>
      </c>
      <c r="J11" s="63" t="n">
        <f aca="false">PL!J23</f>
        <v>0.430836520040278</v>
      </c>
      <c r="K11" s="63" t="n">
        <f aca="false">PL!K23</f>
        <v>0.321205458626394</v>
      </c>
      <c r="L11" s="63" t="n">
        <f aca="false">PL!L23</f>
        <v>0.425953311500552</v>
      </c>
      <c r="M11" s="63" t="n">
        <f aca="false">PL!M23</f>
        <v>0.494975955044813</v>
      </c>
      <c r="N11" s="63" t="n">
        <f aca="false">PL!N23</f>
        <v>0.466928428020911</v>
      </c>
      <c r="O11" s="63" t="n">
        <f aca="false">PL!O23</f>
        <v>0.41945462292083</v>
      </c>
      <c r="P11" s="63" t="n">
        <f aca="false">PL!P23</f>
        <v>0.341775158227118</v>
      </c>
      <c r="Q11" s="63" t="n">
        <f aca="false">PL!Q23</f>
        <v>0.318872204765867</v>
      </c>
      <c r="R11" s="63" t="n">
        <f aca="false">PL!R23</f>
        <v>0.371749086267152</v>
      </c>
      <c r="S11" s="63" t="n">
        <f aca="false">PL!S23</f>
        <v>0.412348890654576</v>
      </c>
      <c r="T11" s="63" t="n">
        <f aca="false">PL!T23</f>
        <v>0.433776389464259</v>
      </c>
      <c r="U11" s="63" t="n">
        <f aca="false">PL!U23</f>
        <v>0.432249303736063</v>
      </c>
      <c r="V11" s="63" t="n">
        <f aca="false">PL!V23</f>
        <v>0.413996869334694</v>
      </c>
      <c r="W11" s="63" t="n">
        <f aca="false">PL!W23</f>
        <v>0.352183916991107</v>
      </c>
      <c r="X11" s="63" t="n">
        <f aca="false">PL!X23</f>
        <v>0.388770061075857</v>
      </c>
      <c r="Y11" s="63" t="n">
        <f aca="false">PL!Y23</f>
        <v>0.368108078134449</v>
      </c>
      <c r="Z11" s="63" t="n">
        <f aca="false">PL!Z23</f>
        <v>0.393294692691267</v>
      </c>
      <c r="AA11" s="63" t="n">
        <f aca="false">PL!AA23</f>
        <v>0.395652886496775</v>
      </c>
      <c r="AB11" s="63" t="n">
        <f aca="false">PL!AB23</f>
        <v>0.351315398156006</v>
      </c>
    </row>
    <row r="12" customFormat="false" ht="15" hidden="false" customHeight="false" outlineLevel="0" collapsed="false">
      <c r="A12" s="28" t="s">
        <v>301</v>
      </c>
      <c r="B12" s="58" t="s">
        <v>30</v>
      </c>
      <c r="C12" s="61" t="n">
        <f aca="false">PL!C41</f>
        <v>0.14817128504276</v>
      </c>
      <c r="D12" s="61" t="n">
        <f aca="false">PL!D41</f>
        <v>0.128567078595185</v>
      </c>
      <c r="E12" s="63" t="n">
        <f aca="false">PL!E41</f>
        <v>0.0885926280802709</v>
      </c>
      <c r="F12" s="63" t="n">
        <f aca="false">PL!F41</f>
        <v>-0.00238863758691124</v>
      </c>
      <c r="G12" s="63" t="n">
        <f aca="false">PL!G41</f>
        <v>0.0339109738463197</v>
      </c>
      <c r="H12" s="63" t="n">
        <f aca="false">PL!H41</f>
        <v>0.10096076729778</v>
      </c>
      <c r="I12" s="63" t="n">
        <f aca="false">PL!I41</f>
        <v>0.166634959303995</v>
      </c>
      <c r="J12" s="63" t="n">
        <f aca="false">PL!J41</f>
        <v>0.189960030233631</v>
      </c>
      <c r="K12" s="63" t="n">
        <f aca="false">PL!K41</f>
        <v>0.101289635182699</v>
      </c>
      <c r="L12" s="63" t="n">
        <f aca="false">PL!L41</f>
        <v>0.224065505890578</v>
      </c>
      <c r="M12" s="63" t="n">
        <f aca="false">PL!M41</f>
        <v>0.286613419979527</v>
      </c>
      <c r="N12" s="63" t="n">
        <f aca="false">PL!N41</f>
        <v>0.234189419560375</v>
      </c>
      <c r="O12" s="63" t="n">
        <f aca="false">PL!O41</f>
        <v>0.17195274528966</v>
      </c>
      <c r="P12" s="63" t="n">
        <f aca="false">PL!P41</f>
        <v>0.0756548401796556</v>
      </c>
      <c r="Q12" s="63" t="n">
        <f aca="false">PL!Q41</f>
        <v>0.042239158882853</v>
      </c>
      <c r="R12" s="63" t="n">
        <f aca="false">PL!R41</f>
        <v>0.122632538060533</v>
      </c>
      <c r="S12" s="63" t="n">
        <f aca="false">PL!S41</f>
        <v>0.176447313535901</v>
      </c>
      <c r="T12" s="63" t="n">
        <f aca="false">PL!T41</f>
        <v>0.177412722026975</v>
      </c>
      <c r="U12" s="63" t="n">
        <f aca="false">PL!U41</f>
        <v>0.187201735859754</v>
      </c>
      <c r="V12" s="63" t="n">
        <f aca="false">PL!V41</f>
        <v>0.161071346068264</v>
      </c>
      <c r="W12" s="63" t="n">
        <f aca="false">PL!W41</f>
        <v>0.0924000609871769</v>
      </c>
      <c r="X12" s="63" t="n">
        <f aca="false">PL!X41</f>
        <v>0.124956364444271</v>
      </c>
      <c r="Y12" s="63" t="n">
        <f aca="false">PL!Y41</f>
        <v>0.095376437939585</v>
      </c>
      <c r="Z12" s="63" t="n">
        <f aca="false">PL!Z41</f>
        <v>0.131433877808992</v>
      </c>
      <c r="AA12" s="63" t="n">
        <f aca="false">PL!AA41</f>
        <v>0.134809894508286</v>
      </c>
      <c r="AB12" s="63" t="n">
        <f aca="false">PL!AB41</f>
        <v>0.0713358489512161</v>
      </c>
    </row>
    <row r="13" customFormat="false" ht="15" hidden="false" customHeight="false" outlineLevel="0" collapsed="false">
      <c r="A13" s="28" t="s">
        <v>302</v>
      </c>
      <c r="B13" s="58" t="s">
        <v>30</v>
      </c>
      <c r="C13" s="61" t="n">
        <f aca="false">PL!C53</f>
        <v>0.735188206332288</v>
      </c>
      <c r="D13" s="61" t="n">
        <f aca="false">PL!D53</f>
        <v>0.762197442869615</v>
      </c>
      <c r="E13" s="63" t="n">
        <f aca="false">PL!E53</f>
        <v>0.795726022380741</v>
      </c>
      <c r="F13" s="63" t="n">
        <f aca="false">PL!F53</f>
        <v>0.859529241065304</v>
      </c>
      <c r="G13" s="63" t="n">
        <f aca="false">PL!G53</f>
        <v>0.812748106784711</v>
      </c>
      <c r="H13" s="63" t="n">
        <f aca="false">PL!H53</f>
        <v>0.7749474197117</v>
      </c>
      <c r="I13" s="63" t="n">
        <f aca="false">PL!I53</f>
        <v>0.700372269289934</v>
      </c>
      <c r="J13" s="63" t="n">
        <f aca="false">PL!J53</f>
        <v>0.690241682676006</v>
      </c>
      <c r="K13" s="63" t="n">
        <f aca="false">PL!K53</f>
        <v>0.800017798026032</v>
      </c>
      <c r="L13" s="63" t="n">
        <f aca="false">PL!L53</f>
        <v>0.689540903565748</v>
      </c>
      <c r="M13" s="63" t="n">
        <f aca="false">PL!M53</f>
        <v>0.618364893338977</v>
      </c>
      <c r="N13" s="63" t="n">
        <f aca="false">PL!N53</f>
        <v>0.653344622322369</v>
      </c>
      <c r="O13" s="63" t="n">
        <f aca="false">PL!O53</f>
        <v>0.708987724224638</v>
      </c>
      <c r="P13" s="63" t="n">
        <f aca="false">PL!P53</f>
        <v>0.803853326581631</v>
      </c>
      <c r="Q13" s="63" t="n">
        <f aca="false">PL!Q53</f>
        <v>0.830115838841135</v>
      </c>
      <c r="R13" s="63" t="n">
        <f aca="false">PL!R53</f>
        <v>0.765672811923324</v>
      </c>
      <c r="S13" s="63" t="n">
        <f aca="false">PL!S53</f>
        <v>0.715175810134252</v>
      </c>
      <c r="T13" s="63" t="n">
        <f aca="false">PL!T53</f>
        <v>0.710977019201575</v>
      </c>
      <c r="U13" s="63" t="n">
        <f aca="false">PL!U53</f>
        <v>0.71289449992632</v>
      </c>
      <c r="V13" s="63" t="n">
        <f aca="false">PL!V53</f>
        <v>0.735813115756521</v>
      </c>
      <c r="W13" s="63" t="n">
        <f aca="false">PL!W53</f>
        <v>0.801688318172328</v>
      </c>
      <c r="X13" s="63" t="n">
        <f aca="false">PL!X53</f>
        <v>0.767489083706475</v>
      </c>
      <c r="Y13" s="63" t="n">
        <f aca="false">PL!Y53</f>
        <v>0.793433242108093</v>
      </c>
      <c r="Z13" s="63" t="n">
        <f aca="false">PL!Z53</f>
        <v>0.761807743262431</v>
      </c>
      <c r="AA13" s="63" t="n">
        <f aca="false">PL!AA53</f>
        <v>0.758846684113107</v>
      </c>
      <c r="AB13" s="63" t="n">
        <f aca="false">PL!AB53</f>
        <v>0.814518921569929</v>
      </c>
    </row>
    <row r="14" customFormat="false" ht="15" hidden="false" customHeight="false" outlineLevel="0" collapsed="false">
      <c r="A14" s="28" t="s">
        <v>303</v>
      </c>
      <c r="B14" s="58" t="s">
        <v>30</v>
      </c>
      <c r="C14" s="59" t="n">
        <f aca="false">SUM(E14:P14)</f>
        <v>583450.501326207</v>
      </c>
      <c r="D14" s="59" t="n">
        <f aca="false">SUM(Q14:AB14)</f>
        <v>538595.24572012</v>
      </c>
      <c r="E14" s="60" t="n">
        <f aca="false">PL!E40</f>
        <v>25230.3776169281</v>
      </c>
      <c r="F14" s="60" t="n">
        <f aca="false">PL!F40</f>
        <v>-629.34830302003</v>
      </c>
      <c r="G14" s="60" t="n">
        <f aca="false">PL!G40</f>
        <v>9527.92250892488</v>
      </c>
      <c r="H14" s="60" t="n">
        <f aca="false">PL!H40</f>
        <v>30847.5426367395</v>
      </c>
      <c r="I14" s="60" t="n">
        <f aca="false">PL!I40</f>
        <v>53724.5273520973</v>
      </c>
      <c r="J14" s="60" t="n">
        <f aca="false">PL!J40</f>
        <v>67693.097803447</v>
      </c>
      <c r="K14" s="60" t="n">
        <f aca="false">PL!K40</f>
        <v>36214.5416140183</v>
      </c>
      <c r="L14" s="60" t="n">
        <f aca="false">PL!L40</f>
        <v>84497.6361785163</v>
      </c>
      <c r="M14" s="60" t="n">
        <f aca="false">PL!M40</f>
        <v>109642.316192274</v>
      </c>
      <c r="N14" s="60" t="n">
        <f aca="false">PL!N40</f>
        <v>85062.5197988111</v>
      </c>
      <c r="O14" s="60" t="n">
        <f aca="false">PL!O40</f>
        <v>58815.800830751</v>
      </c>
      <c r="P14" s="60" t="n">
        <f aca="false">PL!P40</f>
        <v>22823.5670967193</v>
      </c>
      <c r="Q14" s="60" t="n">
        <f aca="false">PL!Q40</f>
        <v>13059.5753469975</v>
      </c>
      <c r="R14" s="60" t="n">
        <f aca="false">PL!R40</f>
        <v>41106.9244640795</v>
      </c>
      <c r="S14" s="60" t="n">
        <f aca="false">PL!S40</f>
        <v>63887.0674380079</v>
      </c>
      <c r="T14" s="60" t="n">
        <f aca="false">PL!T40</f>
        <v>66667.5120197436</v>
      </c>
      <c r="U14" s="60" t="n">
        <f aca="false">PL!U40</f>
        <v>70156.781845064</v>
      </c>
      <c r="V14" s="60" t="n">
        <f aca="false">PL!V40</f>
        <v>58483.8312361961</v>
      </c>
      <c r="W14" s="60" t="n">
        <f aca="false">PL!W40</f>
        <v>32664.0689278137</v>
      </c>
      <c r="X14" s="60" t="n">
        <f aca="false">PL!X40</f>
        <v>43498.1940097978</v>
      </c>
      <c r="Y14" s="60" t="n">
        <f aca="false">PL!Y40</f>
        <v>32115.5791817872</v>
      </c>
      <c r="Z14" s="60" t="n">
        <f aca="false">PL!Z40</f>
        <v>46094.2752362297</v>
      </c>
      <c r="AA14" s="60" t="n">
        <f aca="false">PL!AA40</f>
        <v>47462.7371388382</v>
      </c>
      <c r="AB14" s="60" t="n">
        <f aca="false">PL!AB40</f>
        <v>23398.6988755651</v>
      </c>
    </row>
    <row r="15" customFormat="false" ht="15" hidden="false" customHeight="false" outlineLevel="0" collapsed="false">
      <c r="A15" s="28" t="s">
        <v>304</v>
      </c>
      <c r="B15" s="58" t="s">
        <v>57</v>
      </c>
      <c r="C15" s="59" t="n">
        <f aca="false">AVERAGE(E15:P15)</f>
        <v>102807.548008493</v>
      </c>
      <c r="D15" s="59" t="n">
        <f aca="false">AVERAGE(Q15:AB15)</f>
        <v>100845.447491028</v>
      </c>
      <c r="E15" s="60" t="n">
        <f aca="false">People!E49</f>
        <v>89933.9803000826</v>
      </c>
      <c r="F15" s="60" t="n">
        <f aca="false">People!F49</f>
        <v>83202.8979464147</v>
      </c>
      <c r="G15" s="60" t="n">
        <f aca="false">People!G49</f>
        <v>88726.960423871</v>
      </c>
      <c r="H15" s="60" t="n">
        <f aca="false">People!H49</f>
        <v>94012.2765959199</v>
      </c>
      <c r="I15" s="60" t="n">
        <f aca="false">People!I49</f>
        <v>104564.919065545</v>
      </c>
      <c r="J15" s="60" t="n">
        <f aca="false">People!J49</f>
        <v>115574.408887604</v>
      </c>
      <c r="K15" s="60" t="n">
        <f aca="false">People!K49</f>
        <v>112905.63950969</v>
      </c>
      <c r="L15" s="60" t="n">
        <f aca="false">People!L49</f>
        <v>119087.781719531</v>
      </c>
      <c r="M15" s="60" t="n">
        <f aca="false">People!M49</f>
        <v>120803.447816049</v>
      </c>
      <c r="N15" s="60" t="n">
        <f aca="false">People!N49</f>
        <v>111760.31378425</v>
      </c>
      <c r="O15" s="60" t="n">
        <f aca="false">People!O49</f>
        <v>102613.890923941</v>
      </c>
      <c r="P15" s="60" t="n">
        <f aca="false">People!P49</f>
        <v>90504.0591290158</v>
      </c>
      <c r="Q15" s="60" t="n">
        <f aca="false">People!Q49</f>
        <v>91722.6331963898</v>
      </c>
      <c r="R15" s="60" t="n">
        <f aca="false">People!R49</f>
        <v>99442.4895475637</v>
      </c>
      <c r="S15" s="60" t="n">
        <f aca="false">People!S49</f>
        <v>106362.145254494</v>
      </c>
      <c r="T15" s="60" t="n">
        <f aca="false">People!T49</f>
        <v>107749.502179855</v>
      </c>
      <c r="U15" s="60" t="n">
        <f aca="false">People!U49</f>
        <v>107459.687076004</v>
      </c>
      <c r="V15" s="60" t="n">
        <f aca="false">People!V49</f>
        <v>104112.604464142</v>
      </c>
      <c r="W15" s="60" t="n">
        <f aca="false">People!W49</f>
        <v>101364.016100853</v>
      </c>
      <c r="X15" s="60" t="n">
        <f aca="false">People!X49</f>
        <v>99815.6475533471</v>
      </c>
      <c r="Y15" s="60" t="n">
        <f aca="false">People!Y49</f>
        <v>96551.8153445985</v>
      </c>
      <c r="Z15" s="60" t="n">
        <f aca="false">People!Z49</f>
        <v>100560.043603937</v>
      </c>
      <c r="AA15" s="60" t="n">
        <f aca="false">People!AA49</f>
        <v>100952.434113645</v>
      </c>
      <c r="AB15" s="60" t="n">
        <f aca="false">People!AB49</f>
        <v>94052.3514575097</v>
      </c>
    </row>
    <row r="16" customFormat="false" ht="15" hidden="false" customHeight="false" outlineLevel="0" collapsed="false">
      <c r="A16" s="22" t="s">
        <v>305</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false" outlineLevel="0" collapsed="false">
      <c r="A17" s="28" t="s">
        <v>306</v>
      </c>
      <c r="B17" s="58" t="s">
        <v>55</v>
      </c>
      <c r="C17" s="61" t="n">
        <f aca="false">Utilisation!C78</f>
        <v>0.703809191823938</v>
      </c>
      <c r="D17" s="61" t="n">
        <f aca="false">Utilisation!D78</f>
        <v>0.681705282283914</v>
      </c>
      <c r="E17" s="63" t="n">
        <f aca="false">Utilisation!E78</f>
        <v>0.624601275917065</v>
      </c>
      <c r="F17" s="63" t="n">
        <f aca="false">Utilisation!F78</f>
        <v>0.607804068078041</v>
      </c>
      <c r="G17" s="63" t="n">
        <f aca="false">Utilisation!G78</f>
        <v>0.595339470655926</v>
      </c>
      <c r="H17" s="63" t="n">
        <f aca="false">Utilisation!H78</f>
        <v>0.654372549019608</v>
      </c>
      <c r="I17" s="63" t="n">
        <f aca="false">Utilisation!I78</f>
        <v>0.743229166666667</v>
      </c>
      <c r="J17" s="63" t="n">
        <f aca="false">Utilisation!J78</f>
        <v>0.825022644927536</v>
      </c>
      <c r="K17" s="63" t="n">
        <f aca="false">Utilisation!K78</f>
        <v>0.856628787878788</v>
      </c>
      <c r="L17" s="63" t="n">
        <f aca="false">Utilisation!L78</f>
        <v>0.823484848484848</v>
      </c>
      <c r="M17" s="63" t="n">
        <f aca="false">Utilisation!M78</f>
        <v>0.754549751708751</v>
      </c>
      <c r="N17" s="63" t="n">
        <f aca="false">Utilisation!N78</f>
        <v>0.665355628566298</v>
      </c>
      <c r="O17" s="63" t="n">
        <f aca="false">Utilisation!O78</f>
        <v>0.645875557100141</v>
      </c>
      <c r="P17" s="63" t="n">
        <f aca="false">Utilisation!P78</f>
        <v>0.729380681477569</v>
      </c>
      <c r="Q17" s="63" t="n">
        <f aca="false">Utilisation!Q78</f>
        <v>0.602455359932064</v>
      </c>
      <c r="R17" s="63" t="n">
        <f aca="false">Utilisation!R78</f>
        <v>0.67273815447319</v>
      </c>
      <c r="S17" s="63" t="n">
        <f aca="false">Utilisation!S78</f>
        <v>0.653562987344379</v>
      </c>
      <c r="T17" s="63" t="n">
        <f aca="false">Utilisation!T78</f>
        <v>0.706210114254937</v>
      </c>
      <c r="U17" s="63" t="n">
        <f aca="false">Utilisation!U78</f>
        <v>0.702849189623412</v>
      </c>
      <c r="V17" s="63" t="n">
        <f aca="false">Utilisation!V78</f>
        <v>0.742279694739845</v>
      </c>
      <c r="W17" s="63" t="n">
        <f aca="false">Utilisation!W78</f>
        <v>0.838639120117528</v>
      </c>
      <c r="X17" s="63" t="n">
        <f aca="false">Utilisation!X78</f>
        <v>0.728492834374402</v>
      </c>
      <c r="Y17" s="63" t="n">
        <f aca="false">Utilisation!Y78</f>
        <v>0.60683746012372</v>
      </c>
      <c r="Z17" s="63" t="n">
        <f aca="false">Utilisation!Z78</f>
        <v>0.603805446959757</v>
      </c>
      <c r="AA17" s="63" t="n">
        <f aca="false">Utilisation!AA78</f>
        <v>0.644023958728323</v>
      </c>
      <c r="AB17" s="63" t="n">
        <f aca="false">Utilisation!AB78</f>
        <v>0.754153093152327</v>
      </c>
    </row>
    <row r="18" customFormat="false" ht="15" hidden="false" customHeight="false" outlineLevel="0" collapsed="false">
      <c r="A18" s="28" t="s">
        <v>307</v>
      </c>
      <c r="B18" s="58" t="s">
        <v>55</v>
      </c>
      <c r="C18" s="61" t="n">
        <f aca="false">Utilisation!C81</f>
        <v>0.867468329980157</v>
      </c>
      <c r="D18" s="61" t="n">
        <f aca="false">Utilisation!D81</f>
        <v>0.882285502146228</v>
      </c>
      <c r="E18" s="63" t="n">
        <f aca="false">Utilisation!E81</f>
        <v>0.852254989031965</v>
      </c>
      <c r="F18" s="63" t="n">
        <f aca="false">Utilisation!F81</f>
        <v>0.844396846745852</v>
      </c>
      <c r="G18" s="63" t="n">
        <f aca="false">Utilisation!G81</f>
        <v>0.848363749833101</v>
      </c>
      <c r="H18" s="63" t="n">
        <f aca="false">Utilisation!H81</f>
        <v>0.855802183130243</v>
      </c>
      <c r="I18" s="63" t="n">
        <f aca="false">Utilisation!I81</f>
        <v>0.844147920015316</v>
      </c>
      <c r="J18" s="63" t="n">
        <f aca="false">Utilisation!J81</f>
        <v>0.84155586266486</v>
      </c>
      <c r="K18" s="63" t="n">
        <f aca="false">Utilisation!K81</f>
        <v>0.840864222915529</v>
      </c>
      <c r="L18" s="63" t="n">
        <f aca="false">Utilisation!L81</f>
        <v>0.855613907331873</v>
      </c>
      <c r="M18" s="63" t="n">
        <f aca="false">Utilisation!M81</f>
        <v>0.887766125908819</v>
      </c>
      <c r="N18" s="63" t="n">
        <f aca="false">Utilisation!N81</f>
        <v>0.909357877245054</v>
      </c>
      <c r="O18" s="63" t="n">
        <f aca="false">Utilisation!O81</f>
        <v>0.925830556560943</v>
      </c>
      <c r="P18" s="63" t="n">
        <f aca="false">Utilisation!P81</f>
        <v>0.904383645970326</v>
      </c>
      <c r="Q18" s="63" t="n">
        <f aca="false">Utilisation!Q81</f>
        <v>0.854857576709199</v>
      </c>
      <c r="R18" s="63" t="n">
        <f aca="false">Utilisation!R81</f>
        <v>0.863382077272944</v>
      </c>
      <c r="S18" s="63" t="n">
        <f aca="false">Utilisation!S81</f>
        <v>0.876602602278997</v>
      </c>
      <c r="T18" s="63" t="n">
        <f aca="false">Utilisation!T81</f>
        <v>0.887159747673883</v>
      </c>
      <c r="U18" s="63" t="n">
        <f aca="false">Utilisation!U81</f>
        <v>0.889056107738407</v>
      </c>
      <c r="V18" s="63" t="n">
        <f aca="false">Utilisation!V81</f>
        <v>0.887776520584582</v>
      </c>
      <c r="W18" s="63" t="n">
        <f aca="false">Utilisation!W81</f>
        <v>0.883707502437917</v>
      </c>
      <c r="X18" s="63" t="n">
        <f aca="false">Utilisation!X81</f>
        <v>0.880385984751969</v>
      </c>
      <c r="Y18" s="63" t="n">
        <f aca="false">Utilisation!Y81</f>
        <v>0.880128688704547</v>
      </c>
      <c r="Z18" s="63" t="n">
        <f aca="false">Utilisation!Z81</f>
        <v>0.886864557528236</v>
      </c>
      <c r="AA18" s="63" t="n">
        <f aca="false">Utilisation!AA81</f>
        <v>0.900906279509427</v>
      </c>
      <c r="AB18" s="63" t="n">
        <f aca="false">Utilisation!AB81</f>
        <v>0.89417608502576</v>
      </c>
    </row>
    <row r="19" customFormat="false" ht="15" hidden="false" customHeight="false" outlineLevel="0" collapsed="false">
      <c r="A19" s="28" t="s">
        <v>308</v>
      </c>
      <c r="B19" s="58" t="s">
        <v>55</v>
      </c>
      <c r="C19" s="64" t="n">
        <f aca="false">Utilisation!C82</f>
        <v>92.7684105678092</v>
      </c>
      <c r="D19" s="64" t="n">
        <f aca="false">Utilisation!D82</f>
        <v>98.2910096050372</v>
      </c>
      <c r="E19" s="65" t="n">
        <f aca="false">Utilisation!E82</f>
        <v>90.8916917042505</v>
      </c>
      <c r="F19" s="65" t="n">
        <f aca="false">Utilisation!F82</f>
        <v>89.9634115808994</v>
      </c>
      <c r="G19" s="65" t="n">
        <f aca="false">Utilisation!G82</f>
        <v>90.5066061103353</v>
      </c>
      <c r="H19" s="65" t="n">
        <f aca="false">Utilisation!H82</f>
        <v>91.5447923468179</v>
      </c>
      <c r="I19" s="65" t="n">
        <f aca="false">Utilisation!I82</f>
        <v>90.3661921778399</v>
      </c>
      <c r="J19" s="65" t="n">
        <f aca="false">Utilisation!J82</f>
        <v>90.0316887909469</v>
      </c>
      <c r="K19" s="65" t="n">
        <f aca="false">Utilisation!K82</f>
        <v>89.9207692207347</v>
      </c>
      <c r="L19" s="65" t="n">
        <f aca="false">Utilisation!L82</f>
        <v>91.5635637267037</v>
      </c>
      <c r="M19" s="65" t="n">
        <f aca="false">Utilisation!M82</f>
        <v>95.0413003452444</v>
      </c>
      <c r="N19" s="65" t="n">
        <f aca="false">Utilisation!N82</f>
        <v>97.5061847161642</v>
      </c>
      <c r="O19" s="65" t="n">
        <f aca="false">Utilisation!O82</f>
        <v>99.1588248332015</v>
      </c>
      <c r="P19" s="65" t="n">
        <f aca="false">Utilisation!P82</f>
        <v>96.6838974384631</v>
      </c>
      <c r="Q19" s="65" t="n">
        <f aca="false">Utilisation!Q82</f>
        <v>95.2421287968227</v>
      </c>
      <c r="R19" s="65" t="n">
        <f aca="false">Utilisation!R82</f>
        <v>96.2706964136909</v>
      </c>
      <c r="S19" s="65" t="n">
        <f aca="false">Utilisation!S82</f>
        <v>97.8057092667725</v>
      </c>
      <c r="T19" s="65" t="n">
        <f aca="false">Utilisation!T82</f>
        <v>98.9498491290025</v>
      </c>
      <c r="U19" s="65" t="n">
        <f aca="false">Utilisation!U82</f>
        <v>99.1555939534675</v>
      </c>
      <c r="V19" s="65" t="n">
        <f aca="false">Utilisation!V82</f>
        <v>98.8739080532875</v>
      </c>
      <c r="W19" s="65" t="n">
        <f aca="false">Utilisation!W82</f>
        <v>98.3634134373963</v>
      </c>
      <c r="X19" s="65" t="n">
        <f aca="false">Utilisation!X82</f>
        <v>98.0075408362441</v>
      </c>
      <c r="Y19" s="65" t="n">
        <f aca="false">Utilisation!Y82</f>
        <v>97.9616363683</v>
      </c>
      <c r="Z19" s="65" t="n">
        <f aca="false">Utilisation!Z82</f>
        <v>98.7892378098482</v>
      </c>
      <c r="AA19" s="65" t="n">
        <f aca="false">Utilisation!AA82</f>
        <v>100.322013288966</v>
      </c>
      <c r="AB19" s="65" t="n">
        <f aca="false">Utilisation!AB82</f>
        <v>99.4432631828426</v>
      </c>
    </row>
    <row r="20" customFormat="false" ht="15" hidden="false" customHeight="false" outlineLevel="0" collapsed="false">
      <c r="A20" s="28" t="s">
        <v>309</v>
      </c>
      <c r="B20" s="58" t="s">
        <v>49</v>
      </c>
      <c r="C20" s="61" t="n">
        <f aca="false">Retainers!C175</f>
        <v>0.113958017834202</v>
      </c>
      <c r="D20" s="61" t="n">
        <f aca="false">Retainers!D175</f>
        <v>0.0852896941372652</v>
      </c>
      <c r="E20" s="63" t="n">
        <f aca="false">Retainers!E175</f>
        <v>0.153128834355828</v>
      </c>
      <c r="F20" s="63" t="n">
        <f aca="false">Retainers!F175</f>
        <v>0.127791411042945</v>
      </c>
      <c r="G20" s="63" t="n">
        <f aca="false">Retainers!G175</f>
        <v>0.139754601226994</v>
      </c>
      <c r="H20" s="63" t="n">
        <f aca="false">Retainers!H175</f>
        <v>0.127425474254743</v>
      </c>
      <c r="I20" s="63" t="n">
        <f aca="false">Retainers!I175</f>
        <v>0.129430894308943</v>
      </c>
      <c r="J20" s="63" t="n">
        <f aca="false">Retainers!J175</f>
        <v>0.110478589420655</v>
      </c>
      <c r="K20" s="63" t="n">
        <f aca="false">Retainers!K175</f>
        <v>0.126498740554156</v>
      </c>
      <c r="L20" s="63" t="n">
        <f aca="false">Retainers!L175</f>
        <v>0.120856423173804</v>
      </c>
      <c r="M20" s="63" t="n">
        <f aca="false">Retainers!M175</f>
        <v>0.0884735936188077</v>
      </c>
      <c r="N20" s="63" t="n">
        <f aca="false">Retainers!N175</f>
        <v>0.0845210478771455</v>
      </c>
      <c r="O20" s="63" t="n">
        <f aca="false">Retainers!O175</f>
        <v>0.0845210478771455</v>
      </c>
      <c r="P20" s="63" t="n">
        <f aca="false">Retainers!P175</f>
        <v>0.0845210478771455</v>
      </c>
      <c r="Q20" s="63" t="n">
        <f aca="false">Retainers!Q175</f>
        <v>0.0835910417502117</v>
      </c>
      <c r="R20" s="63" t="n">
        <f aca="false">Retainers!R175</f>
        <v>0.0835910417502117</v>
      </c>
      <c r="S20" s="63" t="n">
        <f aca="false">Retainers!S175</f>
        <v>0.0842605492223402</v>
      </c>
      <c r="T20" s="63" t="n">
        <f aca="false">Retainers!T175</f>
        <v>0.0846044542889887</v>
      </c>
      <c r="U20" s="63" t="n">
        <f aca="false">Retainers!U175</f>
        <v>0.0846044542889887</v>
      </c>
      <c r="V20" s="63" t="n">
        <f aca="false">Retainers!V175</f>
        <v>0.0856022752616229</v>
      </c>
      <c r="W20" s="63" t="n">
        <f aca="false">Retainers!W175</f>
        <v>0.0859670780012188</v>
      </c>
      <c r="X20" s="63" t="n">
        <f aca="false">Retainers!X175</f>
        <v>0.0859670780012188</v>
      </c>
      <c r="Y20" s="63" t="n">
        <f aca="false">Retainers!Y175</f>
        <v>0.0859670780012188</v>
      </c>
      <c r="Z20" s="63" t="n">
        <f aca="false">Retainers!Z175</f>
        <v>0.0864115362662453</v>
      </c>
      <c r="AA20" s="63" t="n">
        <f aca="false">Retainers!AA175</f>
        <v>0.0864115362662453</v>
      </c>
      <c r="AB20" s="63" t="n">
        <f aca="false">Retainers!AB175</f>
        <v>0.0864115362662453</v>
      </c>
    </row>
    <row r="21" customFormat="false" ht="15" hidden="false" customHeight="false" outlineLevel="0" collapsed="false">
      <c r="A21" s="28" t="s">
        <v>310</v>
      </c>
      <c r="B21" s="58" t="s">
        <v>55</v>
      </c>
      <c r="C21" s="61" t="n">
        <f aca="false">IF(Utilisation!C75=0,0,Utilisation!C77/Utilisation!C75)</f>
        <v>0.0380937754841226</v>
      </c>
      <c r="D21" s="61" t="n">
        <f aca="false">IF(Utilisation!D75=0,0,Utilisation!D77/Utilisation!D75)</f>
        <v>0.00531629450148367</v>
      </c>
      <c r="E21" s="63" t="n">
        <f aca="false">IF(Utilisation!E75=0,0,Utilisation!E77/Utilisation!E75)</f>
        <v>9.57456994222472E-005</v>
      </c>
      <c r="F21" s="63" t="n">
        <f aca="false">IF(Utilisation!F75=0,0,Utilisation!F77/Utilisation!F75)</f>
        <v>0.000102434527264641</v>
      </c>
      <c r="G21" s="63" t="n">
        <f aca="false">IF(Utilisation!G75=0,0,Utilisation!G77/Utilisation!G75)</f>
        <v>9.66370313103652E-005</v>
      </c>
      <c r="H21" s="63" t="n">
        <f aca="false">IF(Utilisation!H75=0,0,Utilisation!H77/Utilisation!H75)</f>
        <v>8.98849472674499E-005</v>
      </c>
      <c r="I21" s="63" t="n">
        <f aca="false">IF(Utilisation!I75=0,0,Utilisation!I77/Utilisation!I75)</f>
        <v>8.40854307977255E-005</v>
      </c>
      <c r="J21" s="63" t="n">
        <f aca="false">IF(Utilisation!J75=0,0,Utilisation!J77/Utilisation!J75)</f>
        <v>0.0795331093201284</v>
      </c>
      <c r="K21" s="63" t="n">
        <f aca="false">IF(Utilisation!K75=0,0,Utilisation!K77/Utilisation!K75)</f>
        <v>0.202312866896778</v>
      </c>
      <c r="L21" s="63" t="n">
        <f aca="false">IF(Utilisation!L75=0,0,Utilisation!L77/Utilisation!L75)</f>
        <v>0.100647296442303</v>
      </c>
      <c r="M21" s="63" t="n">
        <f aca="false">IF(Utilisation!M75=0,0,Utilisation!M77/Utilisation!M75)</f>
        <v>0.0203438404131514</v>
      </c>
      <c r="N21" s="63" t="n">
        <f aca="false">IF(Utilisation!N75=0,0,Utilisation!N77/Utilisation!N75)</f>
        <v>0</v>
      </c>
      <c r="O21" s="63" t="n">
        <f aca="false">IF(Utilisation!O75=0,0,Utilisation!O77/Utilisation!O75)</f>
        <v>0</v>
      </c>
      <c r="P21" s="63" t="n">
        <f aca="false">IF(Utilisation!P75=0,0,Utilisation!P77/Utilisation!P75)</f>
        <v>0</v>
      </c>
      <c r="Q21" s="63" t="n">
        <f aca="false">IF(Utilisation!Q75=0,0,Utilisation!Q77/Utilisation!Q75)</f>
        <v>0</v>
      </c>
      <c r="R21" s="63" t="n">
        <f aca="false">IF(Utilisation!R75=0,0,Utilisation!R77/Utilisation!R75)</f>
        <v>0</v>
      </c>
      <c r="S21" s="63" t="n">
        <f aca="false">IF(Utilisation!S75=0,0,Utilisation!S77/Utilisation!S75)</f>
        <v>0</v>
      </c>
      <c r="T21" s="63" t="n">
        <f aca="false">IF(Utilisation!T75=0,0,Utilisation!T77/Utilisation!T75)</f>
        <v>0</v>
      </c>
      <c r="U21" s="63" t="n">
        <f aca="false">IF(Utilisation!U75=0,0,Utilisation!U77/Utilisation!U75)</f>
        <v>0</v>
      </c>
      <c r="V21" s="63" t="n">
        <f aca="false">IF(Utilisation!V75=0,0,Utilisation!V77/Utilisation!V75)</f>
        <v>0</v>
      </c>
      <c r="W21" s="63" t="n">
        <f aca="false">IF(Utilisation!W75=0,0,Utilisation!W77/Utilisation!W75)</f>
        <v>0.06304687148358</v>
      </c>
      <c r="X21" s="63" t="n">
        <f aca="false">IF(Utilisation!X75=0,0,Utilisation!X77/Utilisation!X75)</f>
        <v>0</v>
      </c>
      <c r="Y21" s="63" t="n">
        <f aca="false">IF(Utilisation!Y75=0,0,Utilisation!Y77/Utilisation!Y75)</f>
        <v>0</v>
      </c>
      <c r="Z21" s="63" t="n">
        <f aca="false">IF(Utilisation!Z75=0,0,Utilisation!Z77/Utilisation!Z75)</f>
        <v>0</v>
      </c>
      <c r="AA21" s="63" t="n">
        <f aca="false">IF(Utilisation!AA75=0,0,Utilisation!AA77/Utilisation!AA75)</f>
        <v>0</v>
      </c>
      <c r="AB21" s="63" t="n">
        <f aca="false">IF(Utilisation!AB75=0,0,Utilisation!AB77/Utilisation!AB75)</f>
        <v>0</v>
      </c>
    </row>
    <row r="22" customFormat="false" ht="15" hidden="false" customHeight="false" outlineLevel="0" collapsed="false">
      <c r="A22" s="28" t="s">
        <v>311</v>
      </c>
      <c r="B22" s="58" t="s">
        <v>57</v>
      </c>
      <c r="C22" s="66" t="n">
        <f aca="false">P22</f>
        <v>40</v>
      </c>
      <c r="D22" s="66" t="n">
        <f aca="false">AB22</f>
        <v>41.85</v>
      </c>
      <c r="E22" s="67" t="n">
        <f aca="false">People!E28</f>
        <v>38</v>
      </c>
      <c r="F22" s="67" t="n">
        <f aca="false">People!F28</f>
        <v>38</v>
      </c>
      <c r="G22" s="67" t="n">
        <f aca="false">People!G28</f>
        <v>38</v>
      </c>
      <c r="H22" s="67" t="n">
        <f aca="false">People!H28</f>
        <v>39</v>
      </c>
      <c r="I22" s="67" t="n">
        <f aca="false">People!I28</f>
        <v>37</v>
      </c>
      <c r="J22" s="67" t="n">
        <f aca="false">People!J28</f>
        <v>37</v>
      </c>
      <c r="K22" s="67" t="n">
        <f aca="false">People!K28</f>
        <v>38</v>
      </c>
      <c r="L22" s="67" t="n">
        <f aca="false">People!L28</f>
        <v>38</v>
      </c>
      <c r="M22" s="67" t="n">
        <f aca="false">People!M28</f>
        <v>38</v>
      </c>
      <c r="N22" s="67" t="n">
        <f aca="false">People!N28</f>
        <v>39</v>
      </c>
      <c r="O22" s="67" t="n">
        <f aca="false">People!O28</f>
        <v>40</v>
      </c>
      <c r="P22" s="67" t="n">
        <f aca="false">People!P28</f>
        <v>40</v>
      </c>
      <c r="Q22" s="67" t="n">
        <f aca="false">People!Q28</f>
        <v>40.45</v>
      </c>
      <c r="R22" s="67" t="n">
        <f aca="false">People!R28</f>
        <v>40.45</v>
      </c>
      <c r="S22" s="67" t="n">
        <f aca="false">People!S28</f>
        <v>40.85</v>
      </c>
      <c r="T22" s="67" t="n">
        <f aca="false">People!T28</f>
        <v>41.85</v>
      </c>
      <c r="U22" s="67" t="n">
        <f aca="false">People!U28</f>
        <v>41.85</v>
      </c>
      <c r="V22" s="67" t="n">
        <f aca="false">People!V28</f>
        <v>41.85</v>
      </c>
      <c r="W22" s="67" t="n">
        <f aca="false">People!W28</f>
        <v>41.85</v>
      </c>
      <c r="X22" s="67" t="n">
        <f aca="false">People!X28</f>
        <v>41.85</v>
      </c>
      <c r="Y22" s="67" t="n">
        <f aca="false">People!Y28</f>
        <v>41.85</v>
      </c>
      <c r="Z22" s="67" t="n">
        <f aca="false">People!Z28</f>
        <v>41.85</v>
      </c>
      <c r="AA22" s="67" t="n">
        <f aca="false">People!AA28</f>
        <v>41.85</v>
      </c>
      <c r="AB22" s="67" t="n">
        <f aca="false">People!AB28</f>
        <v>41.85</v>
      </c>
    </row>
    <row r="23" customFormat="false" ht="15" hidden="false" customHeight="false" outlineLevel="0" collapsed="false">
      <c r="A23" s="22" t="s">
        <v>312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313</v>
      </c>
      <c r="B24" s="58"/>
      <c r="C24" s="61" t="n">
        <f aca="false">IF(Utilisation!C80=0,0,FX!C62/Utilisation!C80)</f>
        <v>0.575893030578168</v>
      </c>
      <c r="D24" s="61" t="n">
        <f aca="false">IF(Utilisation!D80=0,0,FX!D62/Utilisation!D80)</f>
        <v>0.578887078184528</v>
      </c>
      <c r="E24" s="63" t="n">
        <f aca="false">IF(Utilisation!E80=0,0,FX!E62/Utilisation!E80)</f>
        <v>0.584854455908529</v>
      </c>
      <c r="F24" s="63" t="n">
        <f aca="false">IF(Utilisation!F80=0,0,FX!F62/Utilisation!F80)</f>
        <v>0.631391938228166</v>
      </c>
      <c r="G24" s="63" t="n">
        <f aca="false">IF(Utilisation!G80=0,0,FX!G62/Utilisation!G80)</f>
        <v>0.592306005277176</v>
      </c>
      <c r="H24" s="63" t="n">
        <f aca="false">IF(Utilisation!H80=0,0,FX!H62/Utilisation!H80)</f>
        <v>0.619797340808526</v>
      </c>
      <c r="I24" s="63" t="n">
        <f aca="false">IF(Utilisation!I80=0,0,FX!I62/Utilisation!I80)</f>
        <v>0.586920686446362</v>
      </c>
      <c r="J24" s="63" t="n">
        <f aca="false">IF(Utilisation!J80=0,0,FX!J62/Utilisation!J80)</f>
        <v>0.570158990877814</v>
      </c>
      <c r="K24" s="63" t="n">
        <f aca="false">IF(Utilisation!K80=0,0,FX!K62/Utilisation!K80)</f>
        <v>0.571782812097368</v>
      </c>
      <c r="L24" s="63" t="n">
        <f aca="false">IF(Utilisation!L80=0,0,FX!L62/Utilisation!L80)</f>
        <v>0.542426211499061</v>
      </c>
      <c r="M24" s="63" t="n">
        <f aca="false">IF(Utilisation!M80=0,0,FX!M62/Utilisation!M80)</f>
        <v>0.534225447277898</v>
      </c>
      <c r="N24" s="63" t="n">
        <f aca="false">IF(Utilisation!N80=0,0,FX!N62/Utilisation!N80)</f>
        <v>0.52633649059777</v>
      </c>
      <c r="O24" s="63" t="n">
        <f aca="false">IF(Utilisation!O80=0,0,FX!O62/Utilisation!O80)</f>
        <v>0.558830873628983</v>
      </c>
      <c r="P24" s="63" t="n">
        <f aca="false">IF(Utilisation!P80=0,0,FX!P62/Utilisation!P80)</f>
        <v>0.632318609809809</v>
      </c>
      <c r="Q24" s="63" t="n">
        <f aca="false">IF(Utilisation!Q80=0,0,FX!Q62/Utilisation!Q80)</f>
        <v>0.63370764607487</v>
      </c>
      <c r="R24" s="63" t="n">
        <f aca="false">IF(Utilisation!R80=0,0,FX!R62/Utilisation!R80)</f>
        <v>0.584512055552183</v>
      </c>
      <c r="S24" s="63" t="n">
        <f aca="false">IF(Utilisation!S80=0,0,FX!S62/Utilisation!S80)</f>
        <v>0.548257556178951</v>
      </c>
      <c r="T24" s="63" t="n">
        <f aca="false">IF(Utilisation!T80=0,0,FX!T62/Utilisation!T80)</f>
        <v>0.533174050707411</v>
      </c>
      <c r="U24" s="63" t="n">
        <f aca="false">IF(Utilisation!U80=0,0,FX!U62/Utilisation!U80)</f>
        <v>0.534612002902144</v>
      </c>
      <c r="V24" s="63" t="n">
        <f aca="false">IF(Utilisation!V80=0,0,FX!V62/Utilisation!V80)</f>
        <v>0.570018797089621</v>
      </c>
      <c r="W24" s="63" t="n">
        <f aca="false">IF(Utilisation!W80=0,0,FX!W62/Utilisation!W80)</f>
        <v>0.579953209001913</v>
      </c>
      <c r="X24" s="63" t="n">
        <f aca="false">IF(Utilisation!X80=0,0,FX!X62/Utilisation!X80)</f>
        <v>0.588949607160465</v>
      </c>
      <c r="Y24" s="63" t="n">
        <f aca="false">IF(Utilisation!Y80=0,0,FX!Y62/Utilisation!Y80)</f>
        <v>0.608858427003154</v>
      </c>
      <c r="Z24" s="63" t="n">
        <f aca="false">IF(Utilisation!Z80=0,0,FX!Z62/Utilisation!Z80)</f>
        <v>0.581670057480332</v>
      </c>
      <c r="AA24" s="63" t="n">
        <f aca="false">IF(Utilisation!AA80=0,0,FX!AA62/Utilisation!AA80)</f>
        <v>0.579409172813797</v>
      </c>
      <c r="AB24" s="63" t="n">
        <f aca="false">IF(Utilisation!AB80=0,0,FX!AB62/Utilisation!AB80)</f>
        <v>0.621917107194837</v>
      </c>
    </row>
    <row r="25" customFormat="false" ht="15" hidden="false" customHeight="false" outlineLevel="0" collapsed="false">
      <c r="A25" s="28" t="s">
        <v>314</v>
      </c>
      <c r="B25" s="58" t="s">
        <v>46</v>
      </c>
      <c r="C25" s="61" t="n">
        <f aca="false">AVERAGE(E25:P25)</f>
        <v>0.189041483685377</v>
      </c>
      <c r="D25" s="61" t="n">
        <f aca="false">AVERAGE(Q25:AB25)</f>
        <v>0.184534730294904</v>
      </c>
      <c r="E25" s="63" t="n">
        <f aca="false">Clients!E545</f>
        <v>0.264132587635097</v>
      </c>
      <c r="F25" s="63" t="n">
        <f aca="false">Clients!F545</f>
        <v>0.247772490755415</v>
      </c>
      <c r="G25" s="63" t="n">
        <f aca="false">Clients!G545</f>
        <v>0.206753131565161</v>
      </c>
      <c r="H25" s="63" t="n">
        <f aca="false">Clients!H545</f>
        <v>0.158495530866074</v>
      </c>
      <c r="I25" s="63" t="n">
        <f aca="false">Clients!I545</f>
        <v>0.150298264930412</v>
      </c>
      <c r="J25" s="63" t="n">
        <f aca="false">Clients!J545</f>
        <v>0.136333358632342</v>
      </c>
      <c r="K25" s="63" t="n">
        <f aca="false">Clients!K545</f>
        <v>0.163612436017501</v>
      </c>
      <c r="L25" s="63" t="n">
        <f aca="false">Clients!L545</f>
        <v>0.197360211310951</v>
      </c>
      <c r="M25" s="63" t="n">
        <f aca="false">Clients!M545</f>
        <v>0.20493568342766</v>
      </c>
      <c r="N25" s="63" t="n">
        <f aca="false">Clients!N545</f>
        <v>0.202730685383144</v>
      </c>
      <c r="O25" s="63" t="n">
        <f aca="false">Clients!O545</f>
        <v>0.173524064703665</v>
      </c>
      <c r="P25" s="63" t="n">
        <f aca="false">Clients!P545</f>
        <v>0.1625493589971</v>
      </c>
      <c r="Q25" s="63" t="n">
        <f aca="false">Clients!Q545</f>
        <v>0.164949730259435</v>
      </c>
      <c r="R25" s="63" t="n">
        <f aca="false">Clients!R545</f>
        <v>0.152144457296527</v>
      </c>
      <c r="S25" s="63" t="n">
        <f aca="false">Clients!S545</f>
        <v>0.16677232197096</v>
      </c>
      <c r="T25" s="63" t="n">
        <f aca="false">Clients!T545</f>
        <v>0.191092368041876</v>
      </c>
      <c r="U25" s="63" t="n">
        <f aca="false">Clients!U545</f>
        <v>0.191607737628333</v>
      </c>
      <c r="V25" s="63" t="n">
        <f aca="false">Clients!V545</f>
        <v>0.166304634210874</v>
      </c>
      <c r="W25" s="63" t="n">
        <f aca="false">Clients!W545</f>
        <v>0.203130344661911</v>
      </c>
      <c r="X25" s="63" t="n">
        <f aca="false">Clients!X545</f>
        <v>0.206281360002972</v>
      </c>
      <c r="Y25" s="63" t="n">
        <f aca="false">Clients!Y545</f>
        <v>0.179327633979273</v>
      </c>
      <c r="Z25" s="63" t="n">
        <f aca="false">Clients!Z545</f>
        <v>0.204754361563101</v>
      </c>
      <c r="AA25" s="63" t="n">
        <f aca="false">Clients!AA545</f>
        <v>0.203958504890558</v>
      </c>
      <c r="AB25" s="63" t="n">
        <f aca="false">Clients!AB545</f>
        <v>0.184093309033031</v>
      </c>
    </row>
    <row r="26" customFormat="false" ht="15" hidden="false" customHeight="false" outlineLevel="0" collapsed="false">
      <c r="A26" s="28" t="s">
        <v>315</v>
      </c>
      <c r="B26" s="58" t="s">
        <v>49</v>
      </c>
      <c r="C26" s="66" t="n">
        <f aca="false">AVERAGE(E26:P26)</f>
        <v>10.0833333333333</v>
      </c>
      <c r="D26" s="66" t="n">
        <f aca="false">AVERAGE(Q26:AB26)</f>
        <v>10.5166666666667</v>
      </c>
      <c r="E26" s="67" t="n">
        <f aca="false">Retainers!E176</f>
        <v>9</v>
      </c>
      <c r="F26" s="67" t="n">
        <f aca="false">Retainers!F176</f>
        <v>9</v>
      </c>
      <c r="G26" s="67" t="n">
        <f aca="false">Retainers!G176</f>
        <v>9</v>
      </c>
      <c r="H26" s="67" t="n">
        <f aca="false">Retainers!H176</f>
        <v>10</v>
      </c>
      <c r="I26" s="67" t="n">
        <f aca="false">Retainers!I176</f>
        <v>10</v>
      </c>
      <c r="J26" s="67" t="n">
        <f aca="false">Retainers!J176</f>
        <v>11</v>
      </c>
      <c r="K26" s="67" t="n">
        <f aca="false">Retainers!K176</f>
        <v>11</v>
      </c>
      <c r="L26" s="67" t="n">
        <f aca="false">Retainers!L176</f>
        <v>11</v>
      </c>
      <c r="M26" s="67" t="n">
        <f aca="false">Retainers!M176</f>
        <v>11</v>
      </c>
      <c r="N26" s="67" t="n">
        <f aca="false">Retainers!N176</f>
        <v>10</v>
      </c>
      <c r="O26" s="67" t="n">
        <f aca="false">Retainers!O176</f>
        <v>10</v>
      </c>
      <c r="P26" s="67" t="n">
        <f aca="false">Retainers!P176</f>
        <v>10</v>
      </c>
      <c r="Q26" s="67" t="n">
        <f aca="false">Retainers!Q176</f>
        <v>10.25</v>
      </c>
      <c r="R26" s="67" t="n">
        <f aca="false">Retainers!R176</f>
        <v>10.25</v>
      </c>
      <c r="S26" s="67" t="n">
        <f aca="false">Retainers!S176</f>
        <v>10.4</v>
      </c>
      <c r="T26" s="67" t="n">
        <f aca="false">Retainers!T176</f>
        <v>10.6</v>
      </c>
      <c r="U26" s="67" t="n">
        <f aca="false">Retainers!U176</f>
        <v>10.6</v>
      </c>
      <c r="V26" s="67" t="n">
        <f aca="false">Retainers!V176</f>
        <v>10.8</v>
      </c>
      <c r="W26" s="67" t="n">
        <f aca="false">Retainers!W176</f>
        <v>10.6</v>
      </c>
      <c r="X26" s="67" t="n">
        <f aca="false">Retainers!X176</f>
        <v>10.6</v>
      </c>
      <c r="Y26" s="67" t="n">
        <f aca="false">Retainers!Y176</f>
        <v>10.6</v>
      </c>
      <c r="Z26" s="67" t="n">
        <f aca="false">Retainers!Z176</f>
        <v>10.5</v>
      </c>
      <c r="AA26" s="67" t="n">
        <f aca="false">Retainers!AA176</f>
        <v>10.5</v>
      </c>
      <c r="AB26" s="67" t="n">
        <f aca="false">Retainers!AB176</f>
        <v>10.5</v>
      </c>
    </row>
    <row r="27" customFormat="false" ht="15" hidden="false" customHeight="false" outlineLevel="0" collapsed="false">
      <c r="A27" s="28" t="s">
        <v>316</v>
      </c>
      <c r="B27" s="58" t="s">
        <v>59</v>
      </c>
      <c r="C27" s="61" t="n">
        <f aca="false">Pipeline!C16</f>
        <v>0.0150636391798507</v>
      </c>
      <c r="D27" s="61" t="n">
        <f aca="false">Pipeline!D16</f>
        <v>0.277434547436579</v>
      </c>
      <c r="E27" s="63" t="n">
        <f aca="false">Pipeline!E16</f>
        <v>0</v>
      </c>
      <c r="F27" s="63" t="n">
        <f aca="false">Pipeline!F16</f>
        <v>0</v>
      </c>
      <c r="G27" s="63" t="n">
        <f aca="false">Pipeline!G16</f>
        <v>0</v>
      </c>
      <c r="H27" s="63" t="n">
        <f aca="false">Pipeline!H16</f>
        <v>0</v>
      </c>
      <c r="I27" s="63" t="n">
        <f aca="false">Pipeline!I16</f>
        <v>0</v>
      </c>
      <c r="J27" s="63" t="n">
        <f aca="false">Pipeline!J16</f>
        <v>0</v>
      </c>
      <c r="K27" s="63" t="n">
        <f aca="false">Pipeline!K16</f>
        <v>0</v>
      </c>
      <c r="L27" s="63" t="n">
        <f aca="false">Pipeline!L16</f>
        <v>0</v>
      </c>
      <c r="M27" s="63" t="n">
        <f aca="false">Pipeline!M16</f>
        <v>0</v>
      </c>
      <c r="N27" s="63" t="n">
        <f aca="false">Pipeline!N16</f>
        <v>0.0211644673215134</v>
      </c>
      <c r="O27" s="63" t="n">
        <f aca="false">Pipeline!O16</f>
        <v>0.064435198753965</v>
      </c>
      <c r="P27" s="63" t="n">
        <f aca="false">Pipeline!P16</f>
        <v>0.0983653495451877</v>
      </c>
      <c r="Q27" s="63" t="n">
        <f aca="false">Pipeline!Q16</f>
        <v>0.165927537035657</v>
      </c>
      <c r="R27" s="63" t="n">
        <f aca="false">Pipeline!R16</f>
        <v>0.236364658162946</v>
      </c>
      <c r="S27" s="63" t="n">
        <f aca="false">Pipeline!S16</f>
        <v>0.281843278546126</v>
      </c>
      <c r="T27" s="63" t="n">
        <f aca="false">Pipeline!T16</f>
        <v>0.320314575978627</v>
      </c>
      <c r="U27" s="63" t="n">
        <f aca="false">Pipeline!U16</f>
        <v>0.318481487616763</v>
      </c>
      <c r="V27" s="63" t="n">
        <f aca="false">Pipeline!V16</f>
        <v>0.314366576658562</v>
      </c>
      <c r="W27" s="63" t="n">
        <f aca="false">Pipeline!W16</f>
        <v>0.33251737834473</v>
      </c>
      <c r="X27" s="63" t="n">
        <f aca="false">Pipeline!X16</f>
        <v>0.297224486545065</v>
      </c>
      <c r="Y27" s="63" t="n">
        <f aca="false">Pipeline!Y16</f>
        <v>0.24643654148324</v>
      </c>
      <c r="Z27" s="63" t="n">
        <f aca="false">Pipeline!Z16</f>
        <v>0.269188371464894</v>
      </c>
      <c r="AA27" s="63" t="n">
        <f aca="false">Pipeline!AA16</f>
        <v>0.26814206720077</v>
      </c>
      <c r="AB27" s="63" t="n">
        <f aca="false">Pipeline!AB16</f>
        <v>0.25298565191324</v>
      </c>
    </row>
    <row r="28" customFormat="false" ht="15" hidden="false" customHeight="false" outlineLevel="0" collapsed="false">
      <c r="A28" s="28" t="s">
        <v>317</v>
      </c>
      <c r="B28" s="58" t="s">
        <v>59</v>
      </c>
      <c r="C28" s="59" t="n">
        <f aca="false">P28</f>
        <v>0</v>
      </c>
      <c r="D28" s="59" t="n">
        <f aca="false">AB28</f>
        <v>0</v>
      </c>
      <c r="E28" s="60" t="n">
        <f aca="false">Pipeline!E18</f>
        <v>74720.8136047849</v>
      </c>
      <c r="F28" s="60" t="n">
        <f aca="false">Pipeline!F18</f>
        <v>203419.259759351</v>
      </c>
      <c r="G28" s="60" t="n">
        <f aca="false">Pipeline!G18</f>
        <v>319901.795982924</v>
      </c>
      <c r="H28" s="60" t="n">
        <f aca="false">Pipeline!H18</f>
        <v>266042.810262327</v>
      </c>
      <c r="I28" s="60" t="n">
        <f aca="false">Pipeline!I18</f>
        <v>302799.592950897</v>
      </c>
      <c r="J28" s="60" t="n">
        <f aca="false">Pipeline!J18</f>
        <v>276919.889899008</v>
      </c>
      <c r="K28" s="60" t="n">
        <f aca="false">Pipeline!K18</f>
        <v>275084.07356288</v>
      </c>
      <c r="L28" s="60" t="n">
        <f aca="false">Pipeline!L18</f>
        <v>164561.483279342</v>
      </c>
      <c r="M28" s="60" t="n">
        <f aca="false">Pipeline!M18</f>
        <v>155219.219093182</v>
      </c>
      <c r="N28" s="60" t="n">
        <f aca="false">Pipeline!N18</f>
        <v>66980.1414861372</v>
      </c>
      <c r="O28" s="60" t="n">
        <f aca="false">Pipeline!O18</f>
        <v>16169.3687478441</v>
      </c>
      <c r="P28" s="60" t="n">
        <f aca="false">Pipeline!P18</f>
        <v>0</v>
      </c>
      <c r="Q28" s="60" t="n">
        <f aca="false">Pipeline!Q18</f>
        <v>0</v>
      </c>
      <c r="R28" s="60" t="n">
        <f aca="false">Pipeline!R18</f>
        <v>0</v>
      </c>
      <c r="S28" s="60" t="n">
        <f aca="false">Pipeline!S18</f>
        <v>0</v>
      </c>
      <c r="T28" s="60" t="n">
        <f aca="false">Pipeline!T18</f>
        <v>0</v>
      </c>
      <c r="U28" s="60" t="n">
        <f aca="false">Pipeline!U18</f>
        <v>0</v>
      </c>
      <c r="V28" s="60" t="n">
        <f aca="false">Pipeline!V18</f>
        <v>0</v>
      </c>
      <c r="W28" s="60" t="n">
        <f aca="false">Pipeline!W18</f>
        <v>0</v>
      </c>
      <c r="X28" s="60" t="n">
        <f aca="false">Pipeline!X18</f>
        <v>0</v>
      </c>
      <c r="Y28" s="60" t="n">
        <f aca="false">Pipeline!Y18</f>
        <v>0</v>
      </c>
      <c r="Z28" s="60" t="n">
        <f aca="false">Pipeline!Z18</f>
        <v>0</v>
      </c>
      <c r="AA28" s="60" t="n">
        <f aca="false">Pipeline!AA18</f>
        <v>0</v>
      </c>
      <c r="AB28" s="60" t="n">
        <f aca="false">Pipeline!AB18</f>
        <v>0</v>
      </c>
    </row>
    <row r="29" customFormat="false" ht="15" hidden="false" customHeight="false" outlineLevel="0" collapsed="false">
      <c r="A29" s="22" t="s">
        <v>318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customFormat="false" ht="15" hidden="false" customHeight="false" outlineLevel="0" collapsed="false">
      <c r="A30" s="28" t="s">
        <v>319</v>
      </c>
      <c r="B30" s="58" t="s">
        <v>63</v>
      </c>
      <c r="C30" s="66" t="n">
        <f aca="false">P30</f>
        <v>34.3960864270901</v>
      </c>
      <c r="D30" s="66" t="n">
        <f aca="false">AB30</f>
        <v>35.2496267936462</v>
      </c>
      <c r="E30" s="67" t="n">
        <f aca="false">Receivables!E21</f>
        <v>36.5024515084546</v>
      </c>
      <c r="F30" s="67" t="n">
        <f aca="false">Receivables!F21</f>
        <v>30.1891251212177</v>
      </c>
      <c r="G30" s="67" t="n">
        <f aca="false">Receivables!G21</f>
        <v>34.2928336862509</v>
      </c>
      <c r="H30" s="67" t="n">
        <f aca="false">Receivables!H21</f>
        <v>40.2220100452913</v>
      </c>
      <c r="I30" s="67" t="n">
        <f aca="false">Receivables!I21</f>
        <v>34.0229570343296</v>
      </c>
      <c r="J30" s="67" t="n">
        <f aca="false">Receivables!J21</f>
        <v>38.7408932747821</v>
      </c>
      <c r="K30" s="67" t="n">
        <f aca="false">Receivables!K21</f>
        <v>37.7130941063637</v>
      </c>
      <c r="L30" s="67" t="n">
        <f aca="false">Receivables!L21</f>
        <v>32.4521567506265</v>
      </c>
      <c r="M30" s="67" t="n">
        <f aca="false">Receivables!M21</f>
        <v>39.2094280327015</v>
      </c>
      <c r="N30" s="67" t="n">
        <f aca="false">Receivables!N21</f>
        <v>41.6963121407571</v>
      </c>
      <c r="O30" s="67" t="n">
        <f aca="false">Receivables!O21</f>
        <v>36.9258035298232</v>
      </c>
      <c r="P30" s="67" t="n">
        <f aca="false">Receivables!P21</f>
        <v>34.3960864270901</v>
      </c>
      <c r="Q30" s="67" t="n">
        <f aca="false">Receivables!Q21</f>
        <v>36.0224823566026</v>
      </c>
      <c r="R30" s="67" t="n">
        <f aca="false">Receivables!R21</f>
        <v>31.9193497230519</v>
      </c>
      <c r="S30" s="67" t="n">
        <f aca="false">Receivables!S21</f>
        <v>37.1609731973799</v>
      </c>
      <c r="T30" s="67" t="n">
        <f aca="false">Receivables!T21</f>
        <v>40.1444585408422</v>
      </c>
      <c r="U30" s="67" t="n">
        <f aca="false">Receivables!U21</f>
        <v>35.2972825178781</v>
      </c>
      <c r="V30" s="67" t="n">
        <f aca="false">Receivables!V21</f>
        <v>35.0038455793974</v>
      </c>
      <c r="W30" s="67" t="n">
        <f aca="false">Receivables!W21</f>
        <v>36.5126825860012</v>
      </c>
      <c r="X30" s="67" t="n">
        <f aca="false">Receivables!X21</f>
        <v>33.8129547263465</v>
      </c>
      <c r="Y30" s="67" t="n">
        <f aca="false">Receivables!Y21</f>
        <v>35.4849922776581</v>
      </c>
      <c r="Z30" s="67" t="n">
        <f aca="false">Receivables!Z21</f>
        <v>39.0763259284224</v>
      </c>
      <c r="AA30" s="67" t="n">
        <f aca="false">Receivables!AA21</f>
        <v>36.0402756750967</v>
      </c>
      <c r="AB30" s="67" t="n">
        <f aca="false">Receivables!AB21</f>
        <v>35.2496267936462</v>
      </c>
    </row>
    <row r="31" customFormat="false" ht="15" hidden="false" customHeight="false" outlineLevel="0" collapsed="false">
      <c r="A31" s="28" t="s">
        <v>320</v>
      </c>
      <c r="B31" s="58" t="s">
        <v>33</v>
      </c>
      <c r="C31" s="59" t="n">
        <f aca="false">P31</f>
        <v>44314.0471683307</v>
      </c>
      <c r="D31" s="59" t="n">
        <f aca="false">AB31</f>
        <v>38761.109055064</v>
      </c>
      <c r="E31" s="60" t="n">
        <f aca="false">BS!E11</f>
        <v>56471.5504363888</v>
      </c>
      <c r="F31" s="60" t="n">
        <f aca="false">BS!F11</f>
        <v>71124.6722720529</v>
      </c>
      <c r="G31" s="60" t="n">
        <f aca="false">BS!G11</f>
        <v>75450.8687273272</v>
      </c>
      <c r="H31" s="60" t="n">
        <f aca="false">BS!H11</f>
        <v>36916.5417460318</v>
      </c>
      <c r="I31" s="60" t="n">
        <f aca="false">BS!I11</f>
        <v>66622.8947716695</v>
      </c>
      <c r="J31" s="60" t="n">
        <f aca="false">BS!J11</f>
        <v>38781.8119406345</v>
      </c>
      <c r="K31" s="60" t="n">
        <f aca="false">BS!K11</f>
        <v>79499.3444115147</v>
      </c>
      <c r="L31" s="60" t="n">
        <f aca="false">BS!L11</f>
        <v>137974.464873232</v>
      </c>
      <c r="M31" s="60" t="n">
        <f aca="false">BS!M11</f>
        <v>116118.753141561</v>
      </c>
      <c r="N31" s="60" t="n">
        <f aca="false">BS!N11</f>
        <v>104947.879250426</v>
      </c>
      <c r="O31" s="60" t="n">
        <f aca="false">BS!O11</f>
        <v>71110.9435888876</v>
      </c>
      <c r="P31" s="60" t="n">
        <f aca="false">BS!P11</f>
        <v>44314.0471683307</v>
      </c>
      <c r="Q31" s="60" t="n">
        <f aca="false">BS!Q11</f>
        <v>62090.3906459996</v>
      </c>
      <c r="R31" s="60" t="n">
        <f aca="false">BS!R11</f>
        <v>59804.9207190329</v>
      </c>
      <c r="S31" s="60" t="n">
        <f aca="false">BS!S11</f>
        <v>65785.2863519704</v>
      </c>
      <c r="T31" s="60" t="n">
        <f aca="false">BS!T11</f>
        <v>58146.8460195229</v>
      </c>
      <c r="U31" s="60" t="n">
        <f aca="false">BS!U11</f>
        <v>65965.1012972098</v>
      </c>
      <c r="V31" s="60" t="n">
        <f aca="false">BS!V11</f>
        <v>56817.7897433761</v>
      </c>
      <c r="W31" s="60" t="n">
        <f aca="false">BS!W11</f>
        <v>71699.238057606</v>
      </c>
      <c r="X31" s="60" t="n">
        <f aca="false">BS!X11</f>
        <v>53817.1051761368</v>
      </c>
      <c r="Y31" s="60" t="n">
        <f aca="false">BS!Y11</f>
        <v>50198.8133663943</v>
      </c>
      <c r="Z31" s="60" t="n">
        <f aca="false">BS!Z11</f>
        <v>52105.0974182827</v>
      </c>
      <c r="AA31" s="60" t="n">
        <f aca="false">BS!AA11</f>
        <v>58900.5293145059</v>
      </c>
      <c r="AB31" s="60" t="n">
        <f aca="false">BS!AB11</f>
        <v>38761.109055064</v>
      </c>
    </row>
    <row r="32" customFormat="false" ht="15" hidden="false" customHeight="false" outlineLevel="0" collapsed="false">
      <c r="A32" s="28" t="s">
        <v>321</v>
      </c>
      <c r="B32" s="58" t="s">
        <v>33</v>
      </c>
      <c r="C32" s="59" t="n">
        <f aca="false">P32</f>
        <v>2810.67545641537</v>
      </c>
      <c r="D32" s="59" t="n">
        <f aca="false">AB32</f>
        <v>10608</v>
      </c>
      <c r="E32" s="60" t="n">
        <f aca="false">BS!E22</f>
        <v>68030.4779496652</v>
      </c>
      <c r="F32" s="60" t="n">
        <f aca="false">BS!F22</f>
        <v>80699.3230402578</v>
      </c>
      <c r="G32" s="60" t="n">
        <f aca="false">BS!G22</f>
        <v>71738.6281231405</v>
      </c>
      <c r="H32" s="60" t="n">
        <f aca="false">BS!H22</f>
        <v>88889.4266295053</v>
      </c>
      <c r="I32" s="60" t="n">
        <f aca="false">BS!I22</f>
        <v>55026.4496154423</v>
      </c>
      <c r="J32" s="60" t="n">
        <f aca="false">BS!J22</f>
        <v>45288.2197937035</v>
      </c>
      <c r="K32" s="60" t="n">
        <f aca="false">BS!K22</f>
        <v>89828.5440501093</v>
      </c>
      <c r="L32" s="60" t="n">
        <f aca="false">BS!L22</f>
        <v>33513.5438072109</v>
      </c>
      <c r="M32" s="60" t="n">
        <f aca="false">BS!M22</f>
        <v>20016.2605720231</v>
      </c>
      <c r="N32" s="60" t="n">
        <f aca="false">BS!N22</f>
        <v>74070.8376144218</v>
      </c>
      <c r="O32" s="60" t="n">
        <f aca="false">BS!O22</f>
        <v>49100.016792787</v>
      </c>
      <c r="P32" s="60" t="n">
        <f aca="false">BS!P22</f>
        <v>2810.67545641537</v>
      </c>
      <c r="Q32" s="60" t="n">
        <f aca="false">BS!Q22</f>
        <v>107011.087614422</v>
      </c>
      <c r="R32" s="60" t="n">
        <f aca="false">BS!R22</f>
        <v>60930.6647480855</v>
      </c>
      <c r="S32" s="60" t="n">
        <f aca="false">BS!S22</f>
        <v>30710.8861795727</v>
      </c>
      <c r="T32" s="60" t="n">
        <f aca="false">BS!T22</f>
        <v>66353.8725256173</v>
      </c>
      <c r="U32" s="60" t="n">
        <f aca="false">BS!U22</f>
        <v>42882.4217258626</v>
      </c>
      <c r="V32" s="60" t="n">
        <f aca="false">BS!V22</f>
        <v>10608</v>
      </c>
      <c r="W32" s="60" t="n">
        <f aca="false">BS!W22</f>
        <v>64785.3540070988</v>
      </c>
      <c r="X32" s="60" t="n">
        <f aca="false">BS!X22</f>
        <v>32392.6770035494</v>
      </c>
      <c r="Y32" s="60" t="n">
        <f aca="false">BS!Y22</f>
        <v>10608</v>
      </c>
      <c r="Z32" s="60" t="n">
        <f aca="false">BS!Z22</f>
        <v>62737.3540070988</v>
      </c>
      <c r="AA32" s="60" t="n">
        <f aca="false">BS!AA22</f>
        <v>31368.6770035494</v>
      </c>
      <c r="AB32" s="60" t="n">
        <f aca="false">BS!AB22</f>
        <v>10608</v>
      </c>
    </row>
    <row r="33" customFormat="false" ht="15" hidden="false" customHeight="false" outlineLevel="0" collapsed="false">
      <c r="A33" s="28" t="s">
        <v>322</v>
      </c>
      <c r="B33" s="58" t="s">
        <v>33</v>
      </c>
      <c r="C33" s="59" t="n">
        <f aca="false">P33</f>
        <v>280595.15673931</v>
      </c>
      <c r="D33" s="59" t="n">
        <f aca="false">AB33</f>
        <v>252055.641065379</v>
      </c>
      <c r="E33" s="60" t="n">
        <f aca="false">BS!E17</f>
        <v>194945.434184592</v>
      </c>
      <c r="F33" s="60" t="n">
        <f aca="false">BS!F17</f>
        <v>195930.65886254</v>
      </c>
      <c r="G33" s="60" t="n">
        <f aca="false">BS!G17</f>
        <v>220130.661404271</v>
      </c>
      <c r="H33" s="60" t="n">
        <f aca="false">BS!H17</f>
        <v>250998.921198462</v>
      </c>
      <c r="I33" s="60" t="n">
        <f aca="false">BS!I17</f>
        <v>242339.525692147</v>
      </c>
      <c r="J33" s="60" t="n">
        <f aca="false">BS!J17</f>
        <v>209936.066382147</v>
      </c>
      <c r="K33" s="60" t="n">
        <f aca="false">BS!K17</f>
        <v>192424.621846302</v>
      </c>
      <c r="L33" s="60" t="n">
        <f aca="false">BS!L17</f>
        <v>235049.153180087</v>
      </c>
      <c r="M33" s="60" t="n">
        <f aca="false">BS!M17</f>
        <v>233829.297282758</v>
      </c>
      <c r="N33" s="60" t="n">
        <f aca="false">BS!N17</f>
        <v>257212.227011034</v>
      </c>
      <c r="O33" s="60" t="n">
        <f aca="false">BS!O17</f>
        <v>315669.551331724</v>
      </c>
      <c r="P33" s="60" t="n">
        <f aca="false">BS!P17</f>
        <v>280595.15673931</v>
      </c>
      <c r="Q33" s="60" t="n">
        <f aca="false">BS!Q17</f>
        <v>197819.902690345</v>
      </c>
      <c r="R33" s="60" t="n">
        <f aca="false">BS!R17</f>
        <v>197819.902690345</v>
      </c>
      <c r="S33" s="60" t="n">
        <f aca="false">BS!S17</f>
        <v>216817.83241862</v>
      </c>
      <c r="T33" s="60" t="n">
        <f aca="false">BS!T17</f>
        <v>221807.664553448</v>
      </c>
      <c r="U33" s="60" t="n">
        <f aca="false">BS!U17</f>
        <v>221807.664553448</v>
      </c>
      <c r="V33" s="60" t="n">
        <f aca="false">BS!V17</f>
        <v>210717.281325775</v>
      </c>
      <c r="W33" s="60" t="n">
        <f aca="false">BS!W17</f>
        <v>181939.41242131</v>
      </c>
      <c r="X33" s="60" t="n">
        <f aca="false">BS!X17</f>
        <v>192641.730799034</v>
      </c>
      <c r="Y33" s="60" t="n">
        <f aca="false">BS!Y17</f>
        <v>214046.367554482</v>
      </c>
      <c r="Z33" s="60" t="n">
        <f aca="false">BS!Z17</f>
        <v>231051.004309931</v>
      </c>
      <c r="AA33" s="60" t="n">
        <f aca="false">BS!AA17</f>
        <v>283562.596198551</v>
      </c>
      <c r="AB33" s="60" t="n">
        <f aca="false">BS!AB17</f>
        <v>252055.641065379</v>
      </c>
    </row>
    <row r="34" customFormat="false" ht="15" hidden="false" customHeight="false" outlineLevel="0" collapsed="false">
      <c r="A34" s="28" t="s">
        <v>323</v>
      </c>
      <c r="B34" s="58" t="s">
        <v>30</v>
      </c>
      <c r="C34" s="59" t="n">
        <f aca="false">SUM(E34:P34)</f>
        <v>6342.8096469149</v>
      </c>
      <c r="D34" s="59" t="n">
        <f aca="false">SUM(Q34:AB34)</f>
        <v>0</v>
      </c>
      <c r="E34" s="60" t="n">
        <f aca="false">PL!E45</f>
        <v>-800.697871121738</v>
      </c>
      <c r="F34" s="60" t="n">
        <f aca="false">PL!F45</f>
        <v>-1448.57718564344</v>
      </c>
      <c r="G34" s="60" t="n">
        <f aca="false">PL!G45</f>
        <v>6340.44653692775</v>
      </c>
      <c r="H34" s="60" t="n">
        <f aca="false">PL!H45</f>
        <v>-2443.08892620365</v>
      </c>
      <c r="I34" s="60" t="n">
        <f aca="false">PL!I45</f>
        <v>794.513923252787</v>
      </c>
      <c r="J34" s="60" t="n">
        <f aca="false">PL!J45</f>
        <v>7283.56683512979</v>
      </c>
      <c r="K34" s="60" t="n">
        <f aca="false">PL!K45</f>
        <v>-524.291312138201</v>
      </c>
      <c r="L34" s="60" t="n">
        <f aca="false">PL!L45</f>
        <v>-2859.06235328839</v>
      </c>
      <c r="M34" s="60" t="n">
        <f aca="false">PL!M45</f>
        <v>0</v>
      </c>
      <c r="N34" s="60" t="n">
        <f aca="false">PL!N45</f>
        <v>0</v>
      </c>
      <c r="O34" s="60" t="n">
        <f aca="false">PL!O45</f>
        <v>0</v>
      </c>
      <c r="P34" s="60" t="n">
        <f aca="false">PL!P45</f>
        <v>0</v>
      </c>
      <c r="Q34" s="60" t="n">
        <f aca="false">PL!Q45</f>
        <v>0</v>
      </c>
      <c r="R34" s="60" t="n">
        <f aca="false">PL!R45</f>
        <v>0</v>
      </c>
      <c r="S34" s="60" t="n">
        <f aca="false">PL!S45</f>
        <v>0</v>
      </c>
      <c r="T34" s="60" t="n">
        <f aca="false">PL!T45</f>
        <v>0</v>
      </c>
      <c r="U34" s="60" t="n">
        <f aca="false">PL!U45</f>
        <v>0</v>
      </c>
      <c r="V34" s="60" t="n">
        <f aca="false">PL!V45</f>
        <v>0</v>
      </c>
      <c r="W34" s="60" t="n">
        <f aca="false">PL!W45</f>
        <v>0</v>
      </c>
      <c r="X34" s="60" t="n">
        <f aca="false">PL!X45</f>
        <v>0</v>
      </c>
      <c r="Y34" s="60" t="n">
        <f aca="false">PL!Y45</f>
        <v>0</v>
      </c>
      <c r="Z34" s="60" t="n">
        <f aca="false">PL!Z45</f>
        <v>0</v>
      </c>
      <c r="AA34" s="60" t="n">
        <f aca="false">PL!AA45</f>
        <v>0</v>
      </c>
      <c r="AB34" s="60" t="n">
        <f aca="false">PL!AB45</f>
        <v>0</v>
      </c>
    </row>
    <row r="35" customFormat="false" ht="15" hidden="false" customHeight="false" outlineLevel="0" collapsed="false">
      <c r="A35" s="28" t="s">
        <v>324</v>
      </c>
      <c r="B35" s="58" t="s">
        <v>61</v>
      </c>
      <c r="C35" s="61" t="n">
        <f aca="false">FX!C78+FX!C79</f>
        <v>0.679047137660175</v>
      </c>
      <c r="D35" s="61" t="n">
        <f aca="false">FX!D78+FX!D79</f>
        <v>0.569109867958115</v>
      </c>
      <c r="E35" s="63" t="n">
        <f aca="false">FX!E78+FX!E79</f>
        <v>0.651128646046867</v>
      </c>
      <c r="F35" s="63" t="n">
        <f aca="false">FX!F78+FX!F79</f>
        <v>0.646123117920415</v>
      </c>
      <c r="G35" s="63" t="n">
        <f aca="false">FX!G78+FX!G79</f>
        <v>0.647949123228136</v>
      </c>
      <c r="H35" s="63" t="n">
        <f aca="false">FX!H78+FX!H79</f>
        <v>0.670887827252899</v>
      </c>
      <c r="I35" s="63" t="n">
        <f aca="false">FX!I78+FX!I79</f>
        <v>0.671062643040465</v>
      </c>
      <c r="J35" s="63" t="n">
        <f aca="false">FX!J78+FX!J79</f>
        <v>0.671895278944782</v>
      </c>
      <c r="K35" s="63" t="n">
        <f aca="false">FX!K78+FX!K79</f>
        <v>0.688029087175382</v>
      </c>
      <c r="L35" s="63" t="n">
        <f aca="false">FX!L78+FX!L79</f>
        <v>0.68475567031174</v>
      </c>
      <c r="M35" s="63" t="n">
        <f aca="false">FX!M78+FX!M79</f>
        <v>0.694884517904215</v>
      </c>
      <c r="N35" s="63" t="n">
        <f aca="false">FX!N78+FX!N79</f>
        <v>0.724131438440568</v>
      </c>
      <c r="O35" s="63" t="n">
        <f aca="false">FX!O78+FX!O79</f>
        <v>0.699267757204124</v>
      </c>
      <c r="P35" s="63" t="n">
        <f aca="false">FX!P78+FX!P79</f>
        <v>0.670339817568773</v>
      </c>
      <c r="Q35" s="63" t="n">
        <f aca="false">FX!Q78+FX!Q79</f>
        <v>0.638572163157249</v>
      </c>
      <c r="R35" s="63" t="n">
        <f aca="false">FX!R78+FX!R79</f>
        <v>0.604136531778789</v>
      </c>
      <c r="S35" s="63" t="n">
        <f aca="false">FX!S78+FX!S79</f>
        <v>0.597371878392724</v>
      </c>
      <c r="T35" s="63" t="n">
        <f aca="false">FX!T78+FX!T79</f>
        <v>0.56009141109245</v>
      </c>
      <c r="U35" s="63" t="n">
        <f aca="false">FX!U78+FX!U79</f>
        <v>0.553197722426004</v>
      </c>
      <c r="V35" s="63" t="n">
        <f aca="false">FX!V78+FX!V79</f>
        <v>0.575794071530343</v>
      </c>
      <c r="W35" s="63" t="n">
        <f aca="false">FX!W78+FX!W79</f>
        <v>0.550046104909176</v>
      </c>
      <c r="X35" s="63" t="n">
        <f aca="false">FX!X78+FX!X79</f>
        <v>0.545187872189378</v>
      </c>
      <c r="Y35" s="63" t="n">
        <f aca="false">FX!Y78+FX!Y79</f>
        <v>0.561117676386596</v>
      </c>
      <c r="Z35" s="63" t="n">
        <f aca="false">FX!Z78+FX!Z79</f>
        <v>0.545428103551312</v>
      </c>
      <c r="AA35" s="63" t="n">
        <f aca="false">FX!AA78+FX!AA79</f>
        <v>0.545430190709345</v>
      </c>
      <c r="AB35" s="63" t="n">
        <f aca="false">FX!AB78+FX!AB79</f>
        <v>0.562630528142861</v>
      </c>
    </row>
    <row r="36" customFormat="false" ht="15" hidden="false" customHeight="false" outlineLevel="0" collapsed="false">
      <c r="A36" s="28" t="s">
        <v>325</v>
      </c>
      <c r="B36" s="58" t="s">
        <v>33</v>
      </c>
      <c r="C36" s="59" t="n">
        <f aca="false">P36</f>
        <v>612534.28302922</v>
      </c>
      <c r="D36" s="59" t="n">
        <f aca="false">AB36</f>
        <v>803759.860565172</v>
      </c>
      <c r="E36" s="60" t="n">
        <f aca="false">BS!E9</f>
        <v>492554.930452003</v>
      </c>
      <c r="F36" s="60" t="n">
        <f aca="false">BS!F9</f>
        <v>675877.630201207</v>
      </c>
      <c r="G36" s="60" t="n">
        <f aca="false">BS!G9</f>
        <v>579312.207110502</v>
      </c>
      <c r="H36" s="60" t="n">
        <f aca="false">BS!H9</f>
        <v>520521.050925958</v>
      </c>
      <c r="I36" s="60" t="n">
        <f aca="false">BS!I9</f>
        <v>600557.830127967</v>
      </c>
      <c r="J36" s="60" t="n">
        <f aca="false">BS!J9</f>
        <v>272487.475298423</v>
      </c>
      <c r="K36" s="60" t="n">
        <f aca="false">BS!K9</f>
        <v>278163.984952918</v>
      </c>
      <c r="L36" s="60" t="n">
        <f aca="false">BS!L9</f>
        <v>367888.049343681</v>
      </c>
      <c r="M36" s="60" t="n">
        <f aca="false">BS!M9</f>
        <v>339326.23945676</v>
      </c>
      <c r="N36" s="60" t="n">
        <f aca="false">BS!N9</f>
        <v>420682.10876628</v>
      </c>
      <c r="O36" s="60" t="n">
        <f aca="false">BS!O9</f>
        <v>567960.487507797</v>
      </c>
      <c r="P36" s="60" t="n">
        <f aca="false">BS!P9</f>
        <v>612534.28302922</v>
      </c>
      <c r="Q36" s="60" t="n">
        <f aca="false">BS!Q9</f>
        <v>640194.160743273</v>
      </c>
      <c r="R36" s="60" t="n">
        <f aca="false">BS!R9</f>
        <v>794311.648770999</v>
      </c>
      <c r="S36" s="60" t="n">
        <f aca="false">BS!S9</f>
        <v>644595.941040873</v>
      </c>
      <c r="T36" s="60" t="n">
        <f aca="false">BS!T9</f>
        <v>637777.3005996</v>
      </c>
      <c r="U36" s="60" t="n">
        <f aca="false">BS!U9</f>
        <v>748210.612073758</v>
      </c>
      <c r="V36" s="60" t="n">
        <f aca="false">BS!V9</f>
        <v>566846.179586067</v>
      </c>
      <c r="W36" s="60" t="n">
        <f aca="false">BS!W9</f>
        <v>562787.447927986</v>
      </c>
      <c r="X36" s="60" t="n">
        <f aca="false">BS!X9</f>
        <v>664145.73036141</v>
      </c>
      <c r="Y36" s="60" t="n">
        <f aca="false">BS!Y9</f>
        <v>682973.572795325</v>
      </c>
      <c r="Z36" s="60" t="n">
        <f aca="false">BS!Z9</f>
        <v>712826.722637955</v>
      </c>
      <c r="AA36" s="60" t="n">
        <f aca="false">BS!AA9</f>
        <v>810264.260740604</v>
      </c>
      <c r="AB36" s="60" t="n">
        <f aca="false">BS!AB9</f>
        <v>803759.860565172</v>
      </c>
    </row>
    <row r="37" customFormat="false" ht="15" hidden="false" customHeight="false" outlineLevel="0" collapsed="false">
      <c r="A37" s="28" t="s">
        <v>326</v>
      </c>
      <c r="B37" s="58"/>
      <c r="C37" s="59" t="n">
        <f aca="false">P37</f>
        <v>262534.28302922</v>
      </c>
      <c r="D37" s="59" t="n">
        <f aca="false">AB37</f>
        <v>453759.860565172</v>
      </c>
      <c r="E37" s="60" t="n">
        <f aca="false">E36-Assumptions!$C$13</f>
        <v>142554.930452003</v>
      </c>
      <c r="F37" s="60" t="n">
        <f aca="false">F36-Assumptions!$C$13</f>
        <v>325877.630201207</v>
      </c>
      <c r="G37" s="60" t="n">
        <f aca="false">G36-Assumptions!$C$13</f>
        <v>229312.207110502</v>
      </c>
      <c r="H37" s="60" t="n">
        <f aca="false">H36-Assumptions!$C$13</f>
        <v>170521.050925958</v>
      </c>
      <c r="I37" s="60" t="n">
        <f aca="false">I36-Assumptions!$C$13</f>
        <v>250557.830127967</v>
      </c>
      <c r="J37" s="60" t="n">
        <f aca="false">J36-Assumptions!$C$13</f>
        <v>-77512.5247015771</v>
      </c>
      <c r="K37" s="60" t="n">
        <f aca="false">K36-Assumptions!$C$13</f>
        <v>-71836.0150470816</v>
      </c>
      <c r="L37" s="60" t="n">
        <f aca="false">L36-Assumptions!$C$13</f>
        <v>17888.0493436813</v>
      </c>
      <c r="M37" s="60" t="n">
        <f aca="false">M36-Assumptions!$C$13</f>
        <v>-10673.7605432396</v>
      </c>
      <c r="N37" s="60" t="n">
        <f aca="false">N36-Assumptions!$C$13</f>
        <v>70682.1087662802</v>
      </c>
      <c r="O37" s="60" t="n">
        <f aca="false">O36-Assumptions!$C$13</f>
        <v>217960.487507797</v>
      </c>
      <c r="P37" s="60" t="n">
        <f aca="false">P36-Assumptions!$C$13</f>
        <v>262534.28302922</v>
      </c>
      <c r="Q37" s="60" t="n">
        <f aca="false">Q36-Assumptions!$C$13</f>
        <v>290194.160743273</v>
      </c>
      <c r="R37" s="60" t="n">
        <f aca="false">R36-Assumptions!$C$13</f>
        <v>444311.648770999</v>
      </c>
      <c r="S37" s="60" t="n">
        <f aca="false">S36-Assumptions!$C$13</f>
        <v>294595.941040873</v>
      </c>
      <c r="T37" s="60" t="n">
        <f aca="false">T36-Assumptions!$C$13</f>
        <v>287777.3005996</v>
      </c>
      <c r="U37" s="60" t="n">
        <f aca="false">U36-Assumptions!$C$13</f>
        <v>398210.612073758</v>
      </c>
      <c r="V37" s="60" t="n">
        <f aca="false">V36-Assumptions!$C$13</f>
        <v>216846.179586067</v>
      </c>
      <c r="W37" s="60" t="n">
        <f aca="false">W36-Assumptions!$C$13</f>
        <v>212787.447927986</v>
      </c>
      <c r="X37" s="60" t="n">
        <f aca="false">X36-Assumptions!$C$13</f>
        <v>314145.73036141</v>
      </c>
      <c r="Y37" s="60" t="n">
        <f aca="false">Y36-Assumptions!$C$13</f>
        <v>332973.572795325</v>
      </c>
      <c r="Z37" s="60" t="n">
        <f aca="false">Z36-Assumptions!$C$13</f>
        <v>362826.722637955</v>
      </c>
      <c r="AA37" s="60" t="n">
        <f aca="false">AA36-Assumptions!$C$13</f>
        <v>460264.260740604</v>
      </c>
      <c r="AB37" s="60" t="n">
        <f aca="false">AB36-Assumptions!$C$13</f>
        <v>453759.860565172</v>
      </c>
    </row>
    <row r="38" customFormat="false" ht="15" hidden="false" customHeight="false" outlineLevel="0" collapsed="false">
      <c r="A38" s="28" t="s">
        <v>327</v>
      </c>
      <c r="B38" s="58" t="s">
        <v>35</v>
      </c>
      <c r="E38" s="60" t="n">
        <f aca="false">SUM(CF!E28:E28)</f>
        <v>12154.9304520026</v>
      </c>
      <c r="F38" s="60" t="n">
        <f aca="false">SUM(CF!E28:F28)</f>
        <v>199877.630201207</v>
      </c>
      <c r="G38" s="60" t="n">
        <f aca="false">SUM(CF!E28:G28)</f>
        <v>109412.207110502</v>
      </c>
      <c r="H38" s="60" t="n">
        <f aca="false">SUM(CF!F28:H28)</f>
        <v>46666.1204739554</v>
      </c>
      <c r="I38" s="60" t="n">
        <f aca="false">SUM(CF!G28:I28)</f>
        <v>-57119.8000732399</v>
      </c>
      <c r="J38" s="60" t="n">
        <f aca="false">SUM(CF!H28:J28)</f>
        <v>-9324.73181207906</v>
      </c>
      <c r="K38" s="60" t="n">
        <f aca="false">SUM(CF!I28:K28)</f>
        <v>54742.9340269604</v>
      </c>
      <c r="L38" s="60" t="n">
        <f aca="false">SUM(CF!J28:L28)</f>
        <v>65130.2192157142</v>
      </c>
      <c r="M38" s="60" t="n">
        <f aca="false">SUM(CF!K28:M28)</f>
        <v>85038.7641583375</v>
      </c>
      <c r="N38" s="60" t="n">
        <f aca="false">SUM(CF!L28:N28)</f>
        <v>161318.123813362</v>
      </c>
      <c r="O38" s="60" t="n">
        <f aca="false">SUM(CF!M28:O28)</f>
        <v>222672.438164115</v>
      </c>
      <c r="P38" s="60" t="n">
        <f aca="false">SUM(CF!N28:P28)</f>
        <v>295808.04357246</v>
      </c>
      <c r="Q38" s="60" t="n">
        <f aca="false">SUM(CF!O28:Q28)</f>
        <v>240808.051976993</v>
      </c>
      <c r="R38" s="60" t="n">
        <f aca="false">SUM(CF!P28:R28)</f>
        <v>245173.161263202</v>
      </c>
      <c r="S38" s="60" t="n">
        <f aca="false">SUM(CF!Q28:S28)</f>
        <v>88049.6580116529</v>
      </c>
      <c r="T38" s="60" t="n">
        <f aca="false">SUM(CF!R28:T28)</f>
        <v>55001.1398563269</v>
      </c>
      <c r="U38" s="60" t="n">
        <f aca="false">SUM(CF!S28:U28)</f>
        <v>11316.9633027597</v>
      </c>
      <c r="V38" s="60" t="n">
        <f aca="false">SUM(CF!T28:V28)</f>
        <v>156867.380698422</v>
      </c>
      <c r="W38" s="60" t="n">
        <f aca="false">SUM(CF!U28:W28)</f>
        <v>157027.289481615</v>
      </c>
      <c r="X38" s="60" t="n">
        <f aca="false">SUM(CF!V28:X28)</f>
        <v>147952.26044088</v>
      </c>
      <c r="Y38" s="60" t="n">
        <f aca="false">SUM(CF!W28:Y28)</f>
        <v>133905.393209258</v>
      </c>
      <c r="Z38" s="60" t="n">
        <f aca="false">SUM(CF!X28:Z28)</f>
        <v>167817.274709969</v>
      </c>
      <c r="AA38" s="60" t="n">
        <f aca="false">SUM(CF!Y28:AA28)</f>
        <v>163896.530379193</v>
      </c>
      <c r="AB38" s="60" t="n">
        <f aca="false">SUM(CF!Z28:AB28)</f>
        <v>138564.287769847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328</v>
      </c>
    </row>
    <row r="3" customFormat="false" ht="15" hidden="false" customHeight="false" outlineLevel="0" collapsed="false">
      <c r="A3" s="49" t="s">
        <v>329</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330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331</v>
      </c>
      <c r="B9" s="58" t="s">
        <v>61</v>
      </c>
      <c r="C9" s="59" t="n">
        <f aca="false">SUM(E9:P9)</f>
        <v>2264397.52942053</v>
      </c>
      <c r="D9" s="59" t="n">
        <f aca="false">SUM(Q9:AB9)</f>
        <v>2425082.93356116</v>
      </c>
      <c r="E9" s="60" t="n">
        <f aca="false">FX!E62</f>
        <v>166561.248867628</v>
      </c>
      <c r="F9" s="60" t="n">
        <f aca="false">FX!F62</f>
        <v>166356.523501859</v>
      </c>
      <c r="G9" s="60" t="n">
        <f aca="false">FX!G62</f>
        <v>166419.453048656</v>
      </c>
      <c r="H9" s="60" t="n">
        <f aca="false">FX!H62</f>
        <v>189372.816871897</v>
      </c>
      <c r="I9" s="60" t="n">
        <f aca="false">FX!I62</f>
        <v>189228.218401487</v>
      </c>
      <c r="J9" s="60" t="n">
        <f aca="false">FX!J62</f>
        <v>203178.680723191</v>
      </c>
      <c r="K9" s="60" t="n">
        <f aca="false">FX!K62</f>
        <v>204071.873019969</v>
      </c>
      <c r="L9" s="60" t="n">
        <f aca="false">FX!L62</f>
        <v>204099.420516524</v>
      </c>
      <c r="M9" s="60" t="n">
        <f aca="false">FX!M62</f>
        <v>203902.323617329</v>
      </c>
      <c r="N9" s="60" t="n">
        <f aca="false">FX!N62</f>
        <v>190402.323617329</v>
      </c>
      <c r="O9" s="60" t="n">
        <f aca="false">FX!O62</f>
        <v>190402.323617329</v>
      </c>
      <c r="P9" s="60" t="n">
        <f aca="false">FX!P62</f>
        <v>190402.323617329</v>
      </c>
      <c r="Q9" s="60" t="n">
        <f aca="false">FX!Q62</f>
        <v>195930.81327296</v>
      </c>
      <c r="R9" s="60" t="n">
        <f aca="false">FX!R62</f>
        <v>195930.81327296</v>
      </c>
      <c r="S9" s="60" t="n">
        <f aca="false">FX!S62</f>
        <v>198510.063786691</v>
      </c>
      <c r="T9" s="60" t="n">
        <f aca="false">FX!T62</f>
        <v>200354.219404554</v>
      </c>
      <c r="U9" s="60" t="n">
        <f aca="false">FX!U62</f>
        <v>200354.219404554</v>
      </c>
      <c r="V9" s="60" t="n">
        <f aca="false">FX!V62</f>
        <v>206969.668685331</v>
      </c>
      <c r="W9" s="60" t="n">
        <f aca="false">FX!W62</f>
        <v>205017.522622351</v>
      </c>
      <c r="X9" s="60" t="n">
        <f aca="false">FX!X62</f>
        <v>205017.522622351</v>
      </c>
      <c r="Y9" s="60" t="n">
        <f aca="false">FX!Y62</f>
        <v>205017.522622351</v>
      </c>
      <c r="Z9" s="60" t="n">
        <f aca="false">FX!Z62</f>
        <v>203993.522622351</v>
      </c>
      <c r="AA9" s="60" t="n">
        <f aca="false">FX!AA62</f>
        <v>203993.522622351</v>
      </c>
      <c r="AB9" s="60" t="n">
        <f aca="false">FX!AB62</f>
        <v>203993.522622351</v>
      </c>
    </row>
    <row r="10" customFormat="false" ht="15" hidden="false" customHeight="false" outlineLevel="0" collapsed="false">
      <c r="A10" s="28" t="s">
        <v>332</v>
      </c>
      <c r="B10" s="58" t="s">
        <v>61</v>
      </c>
      <c r="C10" s="59" t="n">
        <f aca="false">SUM(E10:P10)</f>
        <v>926786.479342986</v>
      </c>
      <c r="D10" s="59" t="n">
        <f aca="false">SUM(Q10:AB10)</f>
        <v>953538.120482793</v>
      </c>
      <c r="E10" s="60" t="n">
        <f aca="false">FX!E63</f>
        <v>65395.6810282954</v>
      </c>
      <c r="F10" s="60" t="n">
        <f aca="false">FX!F63</f>
        <v>48189.0689359823</v>
      </c>
      <c r="G10" s="60" t="n">
        <f aca="false">FX!G63</f>
        <v>52798.0914178011</v>
      </c>
      <c r="H10" s="60" t="n">
        <f aca="false">FX!H63</f>
        <v>55499.693047527</v>
      </c>
      <c r="I10" s="60" t="n">
        <f aca="false">FX!I63</f>
        <v>72634.8355769181</v>
      </c>
      <c r="J10" s="60" t="n">
        <f aca="false">FX!J63</f>
        <v>92439.7807570272</v>
      </c>
      <c r="K10" s="60" t="n">
        <f aca="false">FX!K63</f>
        <v>102218.25228808</v>
      </c>
      <c r="L10" s="60" t="n">
        <f aca="false">FX!L63</f>
        <v>110529.650012757</v>
      </c>
      <c r="M10" s="60" t="n">
        <f aca="false">FX!M63</f>
        <v>112632.340644591</v>
      </c>
      <c r="N10" s="60" t="n">
        <f aca="false">FX!N63</f>
        <v>95895.3276070448</v>
      </c>
      <c r="O10" s="60" t="n">
        <f aca="false">FX!O63</f>
        <v>72764.8417499574</v>
      </c>
      <c r="P10" s="60" t="n">
        <f aca="false">FX!P63</f>
        <v>45788.9162770048</v>
      </c>
      <c r="Q10" s="60" t="n">
        <f aca="false">FX!Q63</f>
        <v>45480.786787909</v>
      </c>
      <c r="R10" s="60" t="n">
        <f aca="false">FX!R63</f>
        <v>73409.4199568794</v>
      </c>
      <c r="S10" s="60" t="n">
        <f aca="false">FX!S63</f>
        <v>92024.0322904626</v>
      </c>
      <c r="T10" s="60" t="n">
        <f aca="false">FX!T63</f>
        <v>105942.431395032</v>
      </c>
      <c r="U10" s="60" t="n">
        <f aca="false">FX!U63</f>
        <v>104931.701220352</v>
      </c>
      <c r="V10" s="60" t="n">
        <f aca="false">FX!V63</f>
        <v>91547.0012722563</v>
      </c>
      <c r="W10" s="60" t="n">
        <f aca="false">FX!W63</f>
        <v>94950.0125390796</v>
      </c>
      <c r="X10" s="60" t="n">
        <f aca="false">FX!X63</f>
        <v>80868.7350208222</v>
      </c>
      <c r="Y10" s="60" t="n">
        <f aca="false">FX!Y63</f>
        <v>60384</v>
      </c>
      <c r="Z10" s="60" t="n">
        <f aca="false">FX!Z63</f>
        <v>71808</v>
      </c>
      <c r="AA10" s="60" t="n">
        <f aca="false">FX!AA63</f>
        <v>71808</v>
      </c>
      <c r="AB10" s="60" t="n">
        <f aca="false">FX!AB63</f>
        <v>60384</v>
      </c>
    </row>
    <row r="11" customFormat="false" ht="15" hidden="false" customHeight="false" outlineLevel="0" collapsed="false">
      <c r="A11" s="28" t="s">
        <v>333</v>
      </c>
      <c r="B11" s="58" t="s">
        <v>61</v>
      </c>
      <c r="C11" s="59" t="n">
        <f aca="false">SUM(E11:P11)</f>
        <v>460502.243749224</v>
      </c>
      <c r="D11" s="59" t="n">
        <f aca="false">SUM(Q11:AB11)</f>
        <v>552186.947030337</v>
      </c>
      <c r="E11" s="60" t="n">
        <f aca="false">FX!E64</f>
        <v>33303.6009937888</v>
      </c>
      <c r="F11" s="60" t="n">
        <f aca="false">FX!F64</f>
        <v>29595.2242180775</v>
      </c>
      <c r="G11" s="60" t="n">
        <f aca="false">FX!G64</f>
        <v>40155.6619710883</v>
      </c>
      <c r="H11" s="60" t="n">
        <f aca="false">FX!H64</f>
        <v>36895.952516344</v>
      </c>
      <c r="I11" s="60" t="n">
        <f aca="false">FX!I64</f>
        <v>37446.0124364862</v>
      </c>
      <c r="J11" s="60" t="n">
        <f aca="false">FX!J64</f>
        <v>38717.0875130133</v>
      </c>
      <c r="K11" s="60" t="n">
        <f aca="false">FX!K64</f>
        <v>29519.8270160116</v>
      </c>
      <c r="L11" s="60" t="n">
        <f aca="false">FX!L64</f>
        <v>38965.4465714686</v>
      </c>
      <c r="M11" s="60" t="n">
        <f aca="false">FX!M64</f>
        <v>42096.9537938565</v>
      </c>
      <c r="N11" s="60" t="n">
        <f aca="false">FX!N64</f>
        <v>50101.0552098872</v>
      </c>
      <c r="O11" s="60" t="n">
        <f aca="false">FX!O64</f>
        <v>46435.1243408711</v>
      </c>
      <c r="P11" s="60" t="n">
        <f aca="false">FX!P64</f>
        <v>37270.2971683307</v>
      </c>
      <c r="Q11" s="60" t="n">
        <f aca="false">FX!Q64</f>
        <v>48292.5293145059</v>
      </c>
      <c r="R11" s="60" t="n">
        <f aca="false">FX!R64</f>
        <v>46386.2452626175</v>
      </c>
      <c r="S11" s="60" t="n">
        <f aca="false">FX!S64</f>
        <v>50198.8133663943</v>
      </c>
      <c r="T11" s="60" t="n">
        <f aca="false">FX!T64</f>
        <v>47657.1012972098</v>
      </c>
      <c r="U11" s="60" t="n">
        <f aca="false">FX!U64</f>
        <v>47657.1012972098</v>
      </c>
      <c r="V11" s="60" t="n">
        <f aca="false">FX!V64</f>
        <v>43844.533193433</v>
      </c>
      <c r="W11" s="60" t="n">
        <f aca="false">FX!W64</f>
        <v>35583.9689685833</v>
      </c>
      <c r="X11" s="60" t="n">
        <f aca="false">FX!X64</f>
        <v>43209.1051761369</v>
      </c>
      <c r="Y11" s="60" t="n">
        <f aca="false">FX!Y64</f>
        <v>50198.8133663943</v>
      </c>
      <c r="Z11" s="60" t="n">
        <f aca="false">FX!Z64</f>
        <v>52105.0974182827</v>
      </c>
      <c r="AA11" s="60" t="n">
        <f aca="false">FX!AA64</f>
        <v>48292.5293145059</v>
      </c>
      <c r="AB11" s="60" t="n">
        <f aca="false">FX!AB64</f>
        <v>38761.109055064</v>
      </c>
    </row>
    <row r="12" customFormat="false" ht="15" hidden="false" customHeight="false" outlineLevel="0" collapsed="false">
      <c r="A12" s="28" t="s">
        <v>334</v>
      </c>
      <c r="B12" s="58" t="s">
        <v>61</v>
      </c>
      <c r="C12" s="59" t="n">
        <f aca="false">SUM(E12:P12)</f>
        <v>280289.668687739</v>
      </c>
      <c r="D12" s="59" t="n">
        <f aca="false">SUM(Q12:AB12)</f>
        <v>258407.866667242</v>
      </c>
      <c r="E12" s="60" t="n">
        <f aca="false">FX!E65</f>
        <v>19530.4067272156</v>
      </c>
      <c r="F12" s="60" t="n">
        <f aca="false">FX!F65</f>
        <v>19335.026841061</v>
      </c>
      <c r="G12" s="60" t="n">
        <f aca="false">FX!G65</f>
        <v>21595.50157138</v>
      </c>
      <c r="H12" s="60" t="n">
        <f aca="false">FX!H65</f>
        <v>23771.4365009715</v>
      </c>
      <c r="I12" s="60" t="n">
        <f aca="false">FX!I65</f>
        <v>23099.434037206</v>
      </c>
      <c r="J12" s="60" t="n">
        <f aca="false">FX!J65</f>
        <v>22018.8784102158</v>
      </c>
      <c r="K12" s="60" t="n">
        <f aca="false">FX!K65</f>
        <v>21094.5727899577</v>
      </c>
      <c r="L12" s="60" t="n">
        <f aca="false">FX!L65</f>
        <v>22676.7916777673</v>
      </c>
      <c r="M12" s="60" t="n">
        <f aca="false">FX!M65</f>
        <v>23046.8000283793</v>
      </c>
      <c r="N12" s="60" t="n">
        <f aca="false">FX!N65</f>
        <v>25351.4800312172</v>
      </c>
      <c r="O12" s="60" t="n">
        <f aca="false">FX!O65</f>
        <v>31113.1800383121</v>
      </c>
      <c r="P12" s="60" t="n">
        <f aca="false">FX!P65</f>
        <v>27656.1600340552</v>
      </c>
      <c r="Q12" s="60" t="n">
        <f aca="false">FX!Q65</f>
        <v>19477.5800241224</v>
      </c>
      <c r="R12" s="60" t="n">
        <f aca="false">FX!R65</f>
        <v>19477.5800241224</v>
      </c>
      <c r="S12" s="60" t="n">
        <f aca="false">FX!S65</f>
        <v>21341.5600269603</v>
      </c>
      <c r="T12" s="60" t="n">
        <f aca="false">FX!T65</f>
        <v>21822.6367554482</v>
      </c>
      <c r="U12" s="60" t="n">
        <f aca="false">FX!U65</f>
        <v>21822.6367554482</v>
      </c>
      <c r="V12" s="60" t="n">
        <f aca="false">FX!V65</f>
        <v>20731.5049176758</v>
      </c>
      <c r="W12" s="60" t="n">
        <f aca="false">FX!W65</f>
        <v>17955.5020217102</v>
      </c>
      <c r="X12" s="60" t="n">
        <f aca="false">FX!X65</f>
        <v>19011.7080229872</v>
      </c>
      <c r="Y12" s="60" t="n">
        <f aca="false">FX!Y65</f>
        <v>21124.1200255414</v>
      </c>
      <c r="Z12" s="60" t="n">
        <f aca="false">FX!Z65</f>
        <v>22796.5320280955</v>
      </c>
      <c r="AA12" s="60" t="n">
        <f aca="false">FX!AA65</f>
        <v>27977.5620344809</v>
      </c>
      <c r="AB12" s="60" t="n">
        <f aca="false">FX!AB65</f>
        <v>24868.9440306497</v>
      </c>
    </row>
    <row r="13" customFormat="false" ht="15" hidden="false" customHeight="false" outlineLevel="0" collapsed="false">
      <c r="A13" s="28" t="s">
        <v>335</v>
      </c>
      <c r="B13" s="58" t="s">
        <v>61</v>
      </c>
      <c r="C13" s="59" t="n">
        <f aca="false">SUM(E13:P13)</f>
        <v>49700</v>
      </c>
      <c r="D13" s="59" t="n">
        <f aca="false">SUM(Q13:AB13)</f>
        <v>0</v>
      </c>
      <c r="E13" s="60" t="n">
        <f aca="false">FX!E66</f>
        <v>0</v>
      </c>
      <c r="F13" s="60" t="n">
        <f aca="false">FX!F66</f>
        <v>0</v>
      </c>
      <c r="G13" s="60" t="n">
        <f aca="false">FX!G66</f>
        <v>0</v>
      </c>
      <c r="H13" s="60" t="n">
        <f aca="false">FX!H66</f>
        <v>0</v>
      </c>
      <c r="I13" s="60" t="n">
        <f aca="false">FX!I66</f>
        <v>0</v>
      </c>
      <c r="J13" s="60" t="n">
        <f aca="false">FX!J66</f>
        <v>0</v>
      </c>
      <c r="K13" s="60" t="n">
        <f aca="false">FX!K66</f>
        <v>4830</v>
      </c>
      <c r="L13" s="60" t="n">
        <f aca="false">FX!L66</f>
        <v>6440</v>
      </c>
      <c r="M13" s="60" t="n">
        <f aca="false">FX!M66</f>
        <v>7575.55555555556</v>
      </c>
      <c r="N13" s="60" t="n">
        <f aca="false">FX!N66</f>
        <v>13338.8888888889</v>
      </c>
      <c r="O13" s="60" t="n">
        <f aca="false">FX!O66</f>
        <v>12265.5555555556</v>
      </c>
      <c r="P13" s="60" t="n">
        <f aca="false">FX!P66</f>
        <v>5250</v>
      </c>
      <c r="Q13" s="60" t="n">
        <f aca="false">FX!Q66</f>
        <v>0</v>
      </c>
      <c r="R13" s="60" t="n">
        <f aca="false">FX!R66</f>
        <v>0</v>
      </c>
      <c r="S13" s="60" t="n">
        <f aca="false">FX!S66</f>
        <v>0</v>
      </c>
      <c r="T13" s="60" t="n">
        <f aca="false">FX!T66</f>
        <v>0</v>
      </c>
      <c r="U13" s="60" t="n">
        <f aca="false">FX!U66</f>
        <v>0</v>
      </c>
      <c r="V13" s="60" t="n">
        <f aca="false">FX!V66</f>
        <v>0</v>
      </c>
      <c r="W13" s="60" t="n">
        <f aca="false">FX!W66</f>
        <v>0</v>
      </c>
      <c r="X13" s="60" t="n">
        <f aca="false">FX!X66</f>
        <v>0</v>
      </c>
      <c r="Y13" s="60" t="n">
        <f aca="false">FX!Y66</f>
        <v>0</v>
      </c>
      <c r="Z13" s="60" t="n">
        <f aca="false">FX!Z66</f>
        <v>0</v>
      </c>
      <c r="AA13" s="60" t="n">
        <f aca="false">FX!AA66</f>
        <v>0</v>
      </c>
      <c r="AB13" s="60" t="n">
        <f aca="false">FX!AB66</f>
        <v>0</v>
      </c>
    </row>
    <row r="14" customFormat="false" ht="15" hidden="false" customHeight="false" outlineLevel="0" collapsed="false">
      <c r="A14" s="68" t="s">
        <v>336</v>
      </c>
      <c r="B14" s="69"/>
      <c r="C14" s="70" t="n">
        <f aca="false">SUM(E14:P14)</f>
        <v>3981675.92120047</v>
      </c>
      <c r="D14" s="70" t="n">
        <f aca="false">SUM(Q14:AB14)</f>
        <v>4189215.86774153</v>
      </c>
      <c r="E14" s="70" t="n">
        <f aca="false">E9+E10+E11+E12+E13</f>
        <v>284790.937616928</v>
      </c>
      <c r="F14" s="70" t="n">
        <f aca="false">F9+F10+F11+F12+F13</f>
        <v>263475.84349698</v>
      </c>
      <c r="G14" s="70" t="n">
        <f aca="false">G9+G10+G11+G12+G13</f>
        <v>280968.708008925</v>
      </c>
      <c r="H14" s="70" t="n">
        <f aca="false">H9+H10+H11+H12+H13</f>
        <v>305539.89893674</v>
      </c>
      <c r="I14" s="70" t="n">
        <f aca="false">I9+I10+I11+I12+I13</f>
        <v>322408.500452097</v>
      </c>
      <c r="J14" s="70" t="n">
        <f aca="false">J9+J10+J11+J12+J13</f>
        <v>356354.427403447</v>
      </c>
      <c r="K14" s="70" t="n">
        <f aca="false">K9+K10+K11+K12+K13</f>
        <v>361734.525114018</v>
      </c>
      <c r="L14" s="70" t="n">
        <f aca="false">L9+L10+L11+L12+L13</f>
        <v>382711.308778516</v>
      </c>
      <c r="M14" s="70" t="n">
        <f aca="false">M9+M10+M11+M12+M13</f>
        <v>389253.973639711</v>
      </c>
      <c r="N14" s="70" t="n">
        <f aca="false">N9+N10+N11+N12+N13</f>
        <v>375089.075354367</v>
      </c>
      <c r="O14" s="70" t="n">
        <f aca="false">O9+O10+O11+O12+O13</f>
        <v>352981.025302025</v>
      </c>
      <c r="P14" s="70" t="n">
        <f aca="false">P9+P10+P11+P12+P13</f>
        <v>306367.697096719</v>
      </c>
      <c r="Q14" s="70" t="n">
        <f aca="false">Q9+Q10+Q11+Q12+Q13</f>
        <v>309181.709399497</v>
      </c>
      <c r="R14" s="70" t="n">
        <f aca="false">R9+R10+R11+R12+R13</f>
        <v>335204.058516579</v>
      </c>
      <c r="S14" s="70" t="n">
        <f aca="false">S9+S10+S11+S12+S13</f>
        <v>362074.469470508</v>
      </c>
      <c r="T14" s="70" t="n">
        <f aca="false">T9+T10+T11+T12+T13</f>
        <v>375776.388852244</v>
      </c>
      <c r="U14" s="70" t="n">
        <f aca="false">U9+U10+U11+U12+U13</f>
        <v>374765.658677564</v>
      </c>
      <c r="V14" s="70" t="n">
        <f aca="false">V9+V10+V11+V12+V13</f>
        <v>363092.708068696</v>
      </c>
      <c r="W14" s="70" t="n">
        <f aca="false">W9+W10+W11+W12+W13</f>
        <v>353507.006151725</v>
      </c>
      <c r="X14" s="70" t="n">
        <f aca="false">X9+X10+X11+X12+X13</f>
        <v>348107.070842298</v>
      </c>
      <c r="Y14" s="70" t="n">
        <f aca="false">Y9+Y10+Y11+Y12+Y13</f>
        <v>336724.456014287</v>
      </c>
      <c r="Z14" s="70" t="n">
        <f aca="false">Z9+Z10+Z11+Z12+Z13</f>
        <v>350703.15206873</v>
      </c>
      <c r="AA14" s="70" t="n">
        <f aca="false">AA9+AA10+AA11+AA12+AA13</f>
        <v>352071.613971338</v>
      </c>
      <c r="AB14" s="70" t="n">
        <f aca="false">AB9+AB10+AB11+AB12+AB13</f>
        <v>328007.575708065</v>
      </c>
    </row>
    <row r="15" customFormat="false" ht="15" hidden="false" customHeight="false" outlineLevel="0" collapsed="false">
      <c r="A15" s="28" t="s">
        <v>337</v>
      </c>
      <c r="B15" s="58" t="s">
        <v>51</v>
      </c>
      <c r="C15" s="59" t="n">
        <f aca="false">SUM(E15:P15)</f>
        <v>-44000</v>
      </c>
      <c r="D15" s="59" t="n">
        <f aca="false">SUM(Q15:AB15)</f>
        <v>0</v>
      </c>
      <c r="E15" s="60" t="n">
        <f aca="false">-Projects!E311</f>
        <v>-0</v>
      </c>
      <c r="F15" s="60" t="n">
        <f aca="false">-Projects!F311</f>
        <v>-0</v>
      </c>
      <c r="G15" s="60" t="n">
        <f aca="false">-Projects!G311</f>
        <v>-0</v>
      </c>
      <c r="H15" s="60" t="n">
        <f aca="false">-Projects!H311</f>
        <v>-0</v>
      </c>
      <c r="I15" s="60" t="n">
        <f aca="false">-Projects!I311</f>
        <v>-0</v>
      </c>
      <c r="J15" s="60" t="n">
        <f aca="false">-Projects!J311</f>
        <v>-0</v>
      </c>
      <c r="K15" s="60" t="n">
        <f aca="false">-Projects!K311</f>
        <v>-4200</v>
      </c>
      <c r="L15" s="60" t="n">
        <f aca="false">-Projects!L311</f>
        <v>-5600</v>
      </c>
      <c r="M15" s="60" t="n">
        <f aca="false">-Projects!M311</f>
        <v>-6709.72222222222</v>
      </c>
      <c r="N15" s="60" t="n">
        <f aca="false">-Projects!N311</f>
        <v>-11868.0555555556</v>
      </c>
      <c r="O15" s="60" t="n">
        <f aca="false">-Projects!O311</f>
        <v>-10934.7222222222</v>
      </c>
      <c r="P15" s="60" t="n">
        <f aca="false">-Projects!P311</f>
        <v>-4687.5</v>
      </c>
      <c r="Q15" s="60" t="n">
        <f aca="false">-Projects!Q311</f>
        <v>-0</v>
      </c>
      <c r="R15" s="60" t="n">
        <f aca="false">-Projects!R311</f>
        <v>-0</v>
      </c>
      <c r="S15" s="60" t="n">
        <f aca="false">-Projects!S311</f>
        <v>-0</v>
      </c>
      <c r="T15" s="60" t="n">
        <f aca="false">-Projects!T311</f>
        <v>-0</v>
      </c>
      <c r="U15" s="60" t="n">
        <f aca="false">-Projects!U311</f>
        <v>-0</v>
      </c>
      <c r="V15" s="60" t="n">
        <f aca="false">-Projects!V311</f>
        <v>-0</v>
      </c>
      <c r="W15" s="60" t="n">
        <f aca="false">-Projects!W311</f>
        <v>-0</v>
      </c>
      <c r="X15" s="60" t="n">
        <f aca="false">-Projects!X311</f>
        <v>-0</v>
      </c>
      <c r="Y15" s="60" t="n">
        <f aca="false">-Projects!Y311</f>
        <v>-0</v>
      </c>
      <c r="Z15" s="60" t="n">
        <f aca="false">-Projects!Z311</f>
        <v>-0</v>
      </c>
      <c r="AA15" s="60" t="n">
        <f aca="false">-Projects!AA311</f>
        <v>-0</v>
      </c>
      <c r="AB15" s="60" t="n">
        <f aca="false">-Projects!AB311</f>
        <v>-0</v>
      </c>
    </row>
    <row r="16" customFormat="false" ht="15" hidden="false" customHeight="false" outlineLevel="0" collapsed="false">
      <c r="A16" s="68" t="s">
        <v>338</v>
      </c>
      <c r="B16" s="69" t="s">
        <v>339</v>
      </c>
      <c r="C16" s="70" t="n">
        <f aca="false">SUM(E16:P16)</f>
        <v>3937675.92120047</v>
      </c>
      <c r="D16" s="70" t="n">
        <f aca="false">SUM(Q16:AB16)</f>
        <v>4189215.86774153</v>
      </c>
      <c r="E16" s="70" t="n">
        <f aca="false">E14+E15</f>
        <v>284790.937616928</v>
      </c>
      <c r="F16" s="70" t="n">
        <f aca="false">F14+F15</f>
        <v>263475.84349698</v>
      </c>
      <c r="G16" s="70" t="n">
        <f aca="false">G14+G15</f>
        <v>280968.708008925</v>
      </c>
      <c r="H16" s="70" t="n">
        <f aca="false">H14+H15</f>
        <v>305539.89893674</v>
      </c>
      <c r="I16" s="70" t="n">
        <f aca="false">I14+I15</f>
        <v>322408.500452097</v>
      </c>
      <c r="J16" s="70" t="n">
        <f aca="false">J14+J15</f>
        <v>356354.427403447</v>
      </c>
      <c r="K16" s="70" t="n">
        <f aca="false">K14+K15</f>
        <v>357534.525114018</v>
      </c>
      <c r="L16" s="70" t="n">
        <f aca="false">L14+L15</f>
        <v>377111.308778516</v>
      </c>
      <c r="M16" s="70" t="n">
        <f aca="false">M14+M15</f>
        <v>382544.251417489</v>
      </c>
      <c r="N16" s="70" t="n">
        <f aca="false">N14+N15</f>
        <v>363221.019798811</v>
      </c>
      <c r="O16" s="70" t="n">
        <f aca="false">O14+O15</f>
        <v>342046.303079802</v>
      </c>
      <c r="P16" s="70" t="n">
        <f aca="false">P14+P15</f>
        <v>301680.197096719</v>
      </c>
      <c r="Q16" s="70" t="n">
        <f aca="false">Q14+Q15</f>
        <v>309181.709399497</v>
      </c>
      <c r="R16" s="70" t="n">
        <f aca="false">R14+R15</f>
        <v>335204.058516579</v>
      </c>
      <c r="S16" s="70" t="n">
        <f aca="false">S14+S15</f>
        <v>362074.469470508</v>
      </c>
      <c r="T16" s="70" t="n">
        <f aca="false">T14+T15</f>
        <v>375776.388852244</v>
      </c>
      <c r="U16" s="70" t="n">
        <f aca="false">U14+U15</f>
        <v>374765.658677564</v>
      </c>
      <c r="V16" s="70" t="n">
        <f aca="false">V14+V15</f>
        <v>363092.708068696</v>
      </c>
      <c r="W16" s="70" t="n">
        <f aca="false">W14+W15</f>
        <v>353507.006151725</v>
      </c>
      <c r="X16" s="70" t="n">
        <f aca="false">X14+X15</f>
        <v>348107.070842298</v>
      </c>
      <c r="Y16" s="70" t="n">
        <f aca="false">Y14+Y15</f>
        <v>336724.456014287</v>
      </c>
      <c r="Z16" s="70" t="n">
        <f aca="false">Z14+Z15</f>
        <v>350703.15206873</v>
      </c>
      <c r="AA16" s="70" t="n">
        <f aca="false">AA14+AA15</f>
        <v>352071.613971338</v>
      </c>
      <c r="AB16" s="70" t="n">
        <f aca="false">AB14+AB15</f>
        <v>328007.575708065</v>
      </c>
    </row>
    <row r="17" customFormat="false" ht="15" hidden="false" customHeight="false" outlineLevel="0" collapsed="false">
      <c r="A17" s="28" t="s">
        <v>340</v>
      </c>
      <c r="B17" s="58"/>
      <c r="F17" s="62" t="n">
        <f aca="false">IF(E16=0,0,F16/E16-1)</f>
        <v>-0.0748447064302975</v>
      </c>
      <c r="G17" s="62" t="n">
        <f aca="false">IF(F16=0,0,G16/F16-1)</f>
        <v>0.0663926691713788</v>
      </c>
      <c r="H17" s="62" t="n">
        <f aca="false">IF(G16=0,0,H16/G16-1)</f>
        <v>0.0874516991658521</v>
      </c>
      <c r="I17" s="62" t="n">
        <f aca="false">IF(H16=0,0,I16/H16-1)</f>
        <v>0.0552091611408507</v>
      </c>
      <c r="J17" s="62" t="n">
        <f aca="false">IF(I16=0,0,J16/I16-1)</f>
        <v>0.105288560642009</v>
      </c>
      <c r="K17" s="62" t="n">
        <f aca="false">IF(J16=0,0,K16/J16-1)</f>
        <v>0.00331158425382849</v>
      </c>
      <c r="L17" s="62" t="n">
        <f aca="false">IF(K16=0,0,L16/K16-1)</f>
        <v>0.0547549461363346</v>
      </c>
      <c r="M17" s="62" t="n">
        <f aca="false">IF(L16=0,0,M16/L16-1)</f>
        <v>0.0144067348618366</v>
      </c>
      <c r="N17" s="62" t="n">
        <f aca="false">IF(M16=0,0,N16/M16-1)</f>
        <v>-0.0505124088182655</v>
      </c>
      <c r="O17" s="62" t="n">
        <f aca="false">IF(N16=0,0,O16/N16-1)</f>
        <v>-0.0582970576172532</v>
      </c>
      <c r="P17" s="62" t="n">
        <f aca="false">IF(O16=0,0,P16/O16-1)</f>
        <v>-0.118013571904226</v>
      </c>
      <c r="Q17" s="62" t="n">
        <f aca="false">IF(P16=0,0,Q16/P16-1)</f>
        <v>0.0248657763252957</v>
      </c>
      <c r="R17" s="62" t="n">
        <f aca="false">IF(Q16=0,0,R16/Q16-1)</f>
        <v>0.0841652281683267</v>
      </c>
      <c r="S17" s="62" t="n">
        <f aca="false">IF(R16=0,0,S16/R16-1)</f>
        <v>0.0801613532749019</v>
      </c>
      <c r="T17" s="62" t="n">
        <f aca="false">IF(S16=0,0,T16/S16-1)</f>
        <v>0.0378428211239892</v>
      </c>
      <c r="U17" s="62" t="n">
        <f aca="false">IF(T16=0,0,U16/T16-1)</f>
        <v>-0.00268971176652866</v>
      </c>
      <c r="V17" s="62" t="n">
        <f aca="false">IF(U16=0,0,V16/U16-1)</f>
        <v>-0.0311473325759309</v>
      </c>
      <c r="W17" s="62" t="n">
        <f aca="false">IF(V16=0,0,W16/V16-1)</f>
        <v>-0.026400149889978</v>
      </c>
      <c r="X17" s="62" t="n">
        <f aca="false">IF(W16=0,0,X16/W16-1)</f>
        <v>-0.0152753275478479</v>
      </c>
      <c r="Y17" s="62" t="n">
        <f aca="false">IF(X16=0,0,Y16/X16-1)</f>
        <v>-0.0326986027616981</v>
      </c>
      <c r="Z17" s="62" t="n">
        <f aca="false">IF(Y16=0,0,Z16/Y16-1)</f>
        <v>0.0415137534704322</v>
      </c>
      <c r="AA17" s="62" t="n">
        <f aca="false">IF(Z16=0,0,AA16/Z16-1)</f>
        <v>0.00390205190496928</v>
      </c>
      <c r="AB17" s="62" t="n">
        <f aca="false">IF(AA16=0,0,AB16/AA16-1)</f>
        <v>-0.0683498393745317</v>
      </c>
    </row>
    <row r="18" customFormat="false" ht="15" hidden="false" customHeight="false" outlineLevel="0" collapsed="false">
      <c r="A18" s="22" t="s">
        <v>341</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row>
    <row r="19" customFormat="false" ht="15" hidden="false" customHeight="false" outlineLevel="0" collapsed="false">
      <c r="A19" s="28" t="s">
        <v>342</v>
      </c>
      <c r="B19" s="58" t="s">
        <v>57</v>
      </c>
      <c r="C19" s="59" t="n">
        <f aca="false">SUM(E19:P19)</f>
        <v>-2200085.442</v>
      </c>
      <c r="D19" s="59" t="n">
        <f aca="false">SUM(Q19:AB19)</f>
        <v>-2479949.1486</v>
      </c>
      <c r="E19" s="60" t="n">
        <f aca="false">-People!E12</f>
        <v>-178119.912</v>
      </c>
      <c r="F19" s="60" t="n">
        <f aca="false">-People!F12</f>
        <v>-177361.266</v>
      </c>
      <c r="G19" s="60" t="n">
        <f aca="false">-People!G12</f>
        <v>-180349.02</v>
      </c>
      <c r="H19" s="60" t="n">
        <f aca="false">-People!H12</f>
        <v>-186427.554</v>
      </c>
      <c r="I19" s="60" t="n">
        <f aca="false">-People!I12</f>
        <v>-177691.752</v>
      </c>
      <c r="J19" s="60" t="n">
        <f aca="false">-People!J12</f>
        <v>-177287.676</v>
      </c>
      <c r="K19" s="60" t="n">
        <f aca="false">-People!K12</f>
        <v>-183008.964</v>
      </c>
      <c r="L19" s="60" t="n">
        <f aca="false">-People!L12</f>
        <v>-184003.098</v>
      </c>
      <c r="M19" s="60" t="n">
        <f aca="false">-People!M12</f>
        <v>-181566.6</v>
      </c>
      <c r="N19" s="60" t="n">
        <f aca="false">-People!N12</f>
        <v>-188122.8</v>
      </c>
      <c r="O19" s="60" t="n">
        <f aca="false">-People!O12</f>
        <v>-193073.4</v>
      </c>
      <c r="P19" s="60" t="n">
        <f aca="false">-People!P12</f>
        <v>-193073.4</v>
      </c>
      <c r="Q19" s="60" t="n">
        <f aca="false">-People!Q12</f>
        <v>-204844.75605</v>
      </c>
      <c r="R19" s="60" t="n">
        <f aca="false">-People!R12</f>
        <v>-204844.75605</v>
      </c>
      <c r="S19" s="60" t="n">
        <f aca="false">-People!S12</f>
        <v>-207025.96365</v>
      </c>
      <c r="T19" s="60" t="n">
        <f aca="false">-People!T12</f>
        <v>-207025.96365</v>
      </c>
      <c r="U19" s="60" t="n">
        <f aca="false">-People!U12</f>
        <v>-207025.96365</v>
      </c>
      <c r="V19" s="60" t="n">
        <f aca="false">-People!V12</f>
        <v>-207025.96365</v>
      </c>
      <c r="W19" s="60" t="n">
        <f aca="false">-People!W12</f>
        <v>-207025.96365</v>
      </c>
      <c r="X19" s="60" t="n">
        <f aca="false">-People!X12</f>
        <v>-207025.96365</v>
      </c>
      <c r="Y19" s="60" t="n">
        <f aca="false">-People!Y12</f>
        <v>-207025.96365</v>
      </c>
      <c r="Z19" s="60" t="n">
        <f aca="false">-People!Z12</f>
        <v>-207025.96365</v>
      </c>
      <c r="AA19" s="60" t="n">
        <f aca="false">-People!AA12</f>
        <v>-207025.96365</v>
      </c>
      <c r="AB19" s="60" t="n">
        <f aca="false">-People!AB12</f>
        <v>-207025.96365</v>
      </c>
    </row>
    <row r="20" customFormat="false" ht="15" hidden="false" customHeight="false" outlineLevel="0" collapsed="false">
      <c r="A20" s="28" t="s">
        <v>343</v>
      </c>
      <c r="B20" s="58" t="s">
        <v>55</v>
      </c>
      <c r="C20" s="59" t="n">
        <f aca="false">SUM(E20:P20)</f>
        <v>-173675.315225214</v>
      </c>
      <c r="D20" s="59" t="n">
        <f aca="false">SUM(Q20:AB20)</f>
        <v>-85204.0603914109</v>
      </c>
      <c r="E20" s="60" t="n">
        <f aca="false">-Utilisation!E84</f>
        <v>-5062.83</v>
      </c>
      <c r="F20" s="60" t="n">
        <f aca="false">-Utilisation!F84</f>
        <v>-5921.18</v>
      </c>
      <c r="G20" s="60" t="n">
        <f aca="false">-Utilisation!G84</f>
        <v>-5125.2</v>
      </c>
      <c r="H20" s="60" t="n">
        <f aca="false">-Utilisation!H84</f>
        <v>-6532.51</v>
      </c>
      <c r="I20" s="60" t="n">
        <f aca="false">-Utilisation!I84</f>
        <v>-5209.98</v>
      </c>
      <c r="J20" s="60" t="n">
        <f aca="false">-Utilisation!J84</f>
        <v>-25536.25</v>
      </c>
      <c r="K20" s="60" t="n">
        <f aca="false">-Utilisation!K84</f>
        <v>-59683.52</v>
      </c>
      <c r="L20" s="60" t="n">
        <f aca="false">-Utilisation!L84</f>
        <v>-32476.4</v>
      </c>
      <c r="M20" s="60" t="n">
        <f aca="false">-Utilisation!M84</f>
        <v>-11627.4452252141</v>
      </c>
      <c r="N20" s="60" t="n">
        <f aca="false">-Utilisation!N84</f>
        <v>-5500</v>
      </c>
      <c r="O20" s="60" t="n">
        <f aca="false">-Utilisation!O84</f>
        <v>-5500</v>
      </c>
      <c r="P20" s="60" t="n">
        <f aca="false">-Utilisation!P84</f>
        <v>-5500</v>
      </c>
      <c r="Q20" s="60" t="n">
        <f aca="false">-Utilisation!Q84</f>
        <v>-5747.5</v>
      </c>
      <c r="R20" s="60" t="n">
        <f aca="false">-Utilisation!R84</f>
        <v>-5747.5</v>
      </c>
      <c r="S20" s="60" t="n">
        <f aca="false">-Utilisation!S84</f>
        <v>-5747.5</v>
      </c>
      <c r="T20" s="60" t="n">
        <f aca="false">-Utilisation!T84</f>
        <v>-5747.5</v>
      </c>
      <c r="U20" s="60" t="n">
        <f aca="false">-Utilisation!U84</f>
        <v>-5747.5</v>
      </c>
      <c r="V20" s="60" t="n">
        <f aca="false">-Utilisation!V84</f>
        <v>-5747.5</v>
      </c>
      <c r="W20" s="60" t="n">
        <f aca="false">-Utilisation!W84</f>
        <v>-21981.5603914108</v>
      </c>
      <c r="X20" s="60" t="n">
        <f aca="false">-Utilisation!X84</f>
        <v>-5747.5</v>
      </c>
      <c r="Y20" s="60" t="n">
        <f aca="false">-Utilisation!Y84</f>
        <v>-5747.5</v>
      </c>
      <c r="Z20" s="60" t="n">
        <f aca="false">-Utilisation!Z84</f>
        <v>-5747.5</v>
      </c>
      <c r="AA20" s="60" t="n">
        <f aca="false">-Utilisation!AA84</f>
        <v>-5747.5</v>
      </c>
      <c r="AB20" s="60" t="n">
        <f aca="false">-Utilisation!AB84</f>
        <v>-5747.5</v>
      </c>
    </row>
    <row r="21" customFormat="false" ht="15" hidden="false" customHeight="false" outlineLevel="0" collapsed="false">
      <c r="A21" s="68" t="s">
        <v>344</v>
      </c>
      <c r="B21" s="69"/>
      <c r="C21" s="70" t="n">
        <f aca="false">SUM(E21:P21)</f>
        <v>-2373760.75722521</v>
      </c>
      <c r="D21" s="70" t="n">
        <f aca="false">SUM(Q21:AB21)</f>
        <v>-2565153.20899141</v>
      </c>
      <c r="E21" s="70" t="n">
        <f aca="false">E19+E20</f>
        <v>-183182.742</v>
      </c>
      <c r="F21" s="70" t="n">
        <f aca="false">F19+F20</f>
        <v>-183282.446</v>
      </c>
      <c r="G21" s="70" t="n">
        <f aca="false">G19+G20</f>
        <v>-185474.22</v>
      </c>
      <c r="H21" s="70" t="n">
        <f aca="false">H19+H20</f>
        <v>-192960.064</v>
      </c>
      <c r="I21" s="70" t="n">
        <f aca="false">I19+I20</f>
        <v>-182901.732</v>
      </c>
      <c r="J21" s="70" t="n">
        <f aca="false">J19+J20</f>
        <v>-202823.926</v>
      </c>
      <c r="K21" s="70" t="n">
        <f aca="false">K19+K20</f>
        <v>-242692.484</v>
      </c>
      <c r="L21" s="70" t="n">
        <f aca="false">L19+L20</f>
        <v>-216479.498</v>
      </c>
      <c r="M21" s="70" t="n">
        <f aca="false">M19+M20</f>
        <v>-193194.045225214</v>
      </c>
      <c r="N21" s="70" t="n">
        <f aca="false">N19+N20</f>
        <v>-193622.8</v>
      </c>
      <c r="O21" s="70" t="n">
        <f aca="false">O19+O20</f>
        <v>-198573.4</v>
      </c>
      <c r="P21" s="70" t="n">
        <f aca="false">P19+P20</f>
        <v>-198573.4</v>
      </c>
      <c r="Q21" s="70" t="n">
        <f aca="false">Q19+Q20</f>
        <v>-210592.25605</v>
      </c>
      <c r="R21" s="70" t="n">
        <f aca="false">R19+R20</f>
        <v>-210592.25605</v>
      </c>
      <c r="S21" s="70" t="n">
        <f aca="false">S19+S20</f>
        <v>-212773.46365</v>
      </c>
      <c r="T21" s="70" t="n">
        <f aca="false">T19+T20</f>
        <v>-212773.46365</v>
      </c>
      <c r="U21" s="70" t="n">
        <f aca="false">U19+U20</f>
        <v>-212773.46365</v>
      </c>
      <c r="V21" s="70" t="n">
        <f aca="false">V19+V20</f>
        <v>-212773.46365</v>
      </c>
      <c r="W21" s="70" t="n">
        <f aca="false">W19+W20</f>
        <v>-229007.524041411</v>
      </c>
      <c r="X21" s="70" t="n">
        <f aca="false">X19+X20</f>
        <v>-212773.46365</v>
      </c>
      <c r="Y21" s="70" t="n">
        <f aca="false">Y19+Y20</f>
        <v>-212773.46365</v>
      </c>
      <c r="Z21" s="70" t="n">
        <f aca="false">Z19+Z20</f>
        <v>-212773.46365</v>
      </c>
      <c r="AA21" s="70" t="n">
        <f aca="false">AA19+AA20</f>
        <v>-212773.46365</v>
      </c>
      <c r="AB21" s="70" t="n">
        <f aca="false">AB19+AB20</f>
        <v>-212773.46365</v>
      </c>
    </row>
    <row r="22" customFormat="false" ht="15" hidden="false" customHeight="false" outlineLevel="0" collapsed="false">
      <c r="A22" s="68" t="s">
        <v>345</v>
      </c>
      <c r="B22" s="69" t="s">
        <v>346</v>
      </c>
      <c r="C22" s="70" t="n">
        <f aca="false">SUM(E22:P22)</f>
        <v>1563915.16397526</v>
      </c>
      <c r="D22" s="70" t="n">
        <f aca="false">SUM(Q22:AB22)</f>
        <v>1624062.65875012</v>
      </c>
      <c r="E22" s="70" t="n">
        <f aca="false">E16+E21</f>
        <v>101608.195616928</v>
      </c>
      <c r="F22" s="70" t="n">
        <f aca="false">F16+F21</f>
        <v>80193.39749698</v>
      </c>
      <c r="G22" s="70" t="n">
        <f aca="false">G16+G21</f>
        <v>95494.4880089249</v>
      </c>
      <c r="H22" s="70" t="n">
        <f aca="false">H16+H21</f>
        <v>112579.83493674</v>
      </c>
      <c r="I22" s="70" t="n">
        <f aca="false">I16+I21</f>
        <v>139506.768452097</v>
      </c>
      <c r="J22" s="70" t="n">
        <f aca="false">J16+J21</f>
        <v>153530.501403447</v>
      </c>
      <c r="K22" s="70" t="n">
        <f aca="false">K16+K21</f>
        <v>114842.041114018</v>
      </c>
      <c r="L22" s="70" t="n">
        <f aca="false">L16+L21</f>
        <v>160631.810778516</v>
      </c>
      <c r="M22" s="70" t="n">
        <f aca="false">M16+M21</f>
        <v>189350.206192275</v>
      </c>
      <c r="N22" s="70" t="n">
        <f aca="false">N16+N21</f>
        <v>169598.219798811</v>
      </c>
      <c r="O22" s="70" t="n">
        <f aca="false">O16+O21</f>
        <v>143472.903079802</v>
      </c>
      <c r="P22" s="70" t="n">
        <f aca="false">P16+P21</f>
        <v>103106.797096719</v>
      </c>
      <c r="Q22" s="70" t="n">
        <f aca="false">Q16+Q21</f>
        <v>98589.4533494975</v>
      </c>
      <c r="R22" s="70" t="n">
        <f aca="false">R16+R21</f>
        <v>124611.802466579</v>
      </c>
      <c r="S22" s="70" t="n">
        <f aca="false">S16+S21</f>
        <v>149301.005820508</v>
      </c>
      <c r="T22" s="70" t="n">
        <f aca="false">T16+T21</f>
        <v>163002.925202244</v>
      </c>
      <c r="U22" s="70" t="n">
        <f aca="false">U16+U21</f>
        <v>161992.195027564</v>
      </c>
      <c r="V22" s="70" t="n">
        <f aca="false">V16+V21</f>
        <v>150319.244418696</v>
      </c>
      <c r="W22" s="70" t="n">
        <f aca="false">W16+W21</f>
        <v>124499.482110314</v>
      </c>
      <c r="X22" s="70" t="n">
        <f aca="false">X16+X21</f>
        <v>135333.607192298</v>
      </c>
      <c r="Y22" s="70" t="n">
        <f aca="false">Y16+Y21</f>
        <v>123950.992364287</v>
      </c>
      <c r="Z22" s="70" t="n">
        <f aca="false">Z16+Z21</f>
        <v>137929.68841873</v>
      </c>
      <c r="AA22" s="70" t="n">
        <f aca="false">AA16+AA21</f>
        <v>139298.150321338</v>
      </c>
      <c r="AB22" s="70" t="n">
        <f aca="false">AB16+AB21</f>
        <v>115234.112058065</v>
      </c>
    </row>
    <row r="23" customFormat="false" ht="15" hidden="false" customHeight="false" outlineLevel="0" collapsed="false">
      <c r="A23" s="28" t="s">
        <v>347</v>
      </c>
      <c r="B23" s="58"/>
      <c r="C23" s="61" t="n">
        <f aca="false">IF(C16=0,0,C22/C16)</f>
        <v>0.397167058760506</v>
      </c>
      <c r="D23" s="61" t="n">
        <f aca="false">IF(D16=0,0,D22/D16)</f>
        <v>0.387677004485729</v>
      </c>
      <c r="E23" s="62" t="n">
        <f aca="false">IF(E16=0,0,E22/E16)</f>
        <v>0.356781702631287</v>
      </c>
      <c r="F23" s="62" t="n">
        <f aca="false">IF(F16=0,0,F22/F16)</f>
        <v>0.304367172461103</v>
      </c>
      <c r="G23" s="62" t="n">
        <f aca="false">IF(G16=0,0,G22/G16)</f>
        <v>0.339875883993073</v>
      </c>
      <c r="H23" s="62" t="n">
        <f aca="false">IF(H16=0,0,H22/H16)</f>
        <v>0.368461976090555</v>
      </c>
      <c r="I23" s="62" t="n">
        <f aca="false">IF(I16=0,0,I22/I16)</f>
        <v>0.432701892960247</v>
      </c>
      <c r="J23" s="62" t="n">
        <f aca="false">IF(J16=0,0,J22/J16)</f>
        <v>0.430836520040278</v>
      </c>
      <c r="K23" s="62" t="n">
        <f aca="false">IF(K16=0,0,K22/K16)</f>
        <v>0.321205458626394</v>
      </c>
      <c r="L23" s="62" t="n">
        <f aca="false">IF(L16=0,0,L22/L16)</f>
        <v>0.425953311500552</v>
      </c>
      <c r="M23" s="62" t="n">
        <f aca="false">IF(M16=0,0,M22/M16)</f>
        <v>0.494975955044813</v>
      </c>
      <c r="N23" s="62" t="n">
        <f aca="false">IF(N16=0,0,N22/N16)</f>
        <v>0.466928428020911</v>
      </c>
      <c r="O23" s="62" t="n">
        <f aca="false">IF(O16=0,0,O22/O16)</f>
        <v>0.41945462292083</v>
      </c>
      <c r="P23" s="62" t="n">
        <f aca="false">IF(P16=0,0,P22/P16)</f>
        <v>0.341775158227118</v>
      </c>
      <c r="Q23" s="62" t="n">
        <f aca="false">IF(Q16=0,0,Q22/Q16)</f>
        <v>0.318872204765867</v>
      </c>
      <c r="R23" s="62" t="n">
        <f aca="false">IF(R16=0,0,R22/R16)</f>
        <v>0.371749086267152</v>
      </c>
      <c r="S23" s="62" t="n">
        <f aca="false">IF(S16=0,0,S22/S16)</f>
        <v>0.412348890654576</v>
      </c>
      <c r="T23" s="62" t="n">
        <f aca="false">IF(T16=0,0,T22/T16)</f>
        <v>0.433776389464259</v>
      </c>
      <c r="U23" s="62" t="n">
        <f aca="false">IF(U16=0,0,U22/U16)</f>
        <v>0.432249303736063</v>
      </c>
      <c r="V23" s="62" t="n">
        <f aca="false">IF(V16=0,0,V22/V16)</f>
        <v>0.413996869334694</v>
      </c>
      <c r="W23" s="62" t="n">
        <f aca="false">IF(W16=0,0,W22/W16)</f>
        <v>0.352183916991107</v>
      </c>
      <c r="X23" s="62" t="n">
        <f aca="false">IF(X16=0,0,X22/X16)</f>
        <v>0.388770061075857</v>
      </c>
      <c r="Y23" s="62" t="n">
        <f aca="false">IF(Y16=0,0,Y22/Y16)</f>
        <v>0.368108078134449</v>
      </c>
      <c r="Z23" s="62" t="n">
        <f aca="false">IF(Z16=0,0,Z22/Z16)</f>
        <v>0.393294692691267</v>
      </c>
      <c r="AA23" s="62" t="n">
        <f aca="false">IF(AA16=0,0,AA22/AA16)</f>
        <v>0.395652886496775</v>
      </c>
      <c r="AB23" s="62" t="n">
        <f aca="false">IF(AB16=0,0,AB22/AB16)</f>
        <v>0.351315398156006</v>
      </c>
    </row>
    <row r="24" customFormat="false" ht="15" hidden="false" customHeight="false" outlineLevel="0" collapsed="false">
      <c r="A24" s="22" t="s">
        <v>348</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row>
    <row r="25" customFormat="false" ht="15" hidden="false" customHeight="false" outlineLevel="0" collapsed="false">
      <c r="A25" s="28" t="s">
        <v>349</v>
      </c>
      <c r="B25" s="58" t="s">
        <v>57</v>
      </c>
      <c r="C25" s="59" t="n">
        <f aca="false">SUM(E25:P25)</f>
        <v>-391588.446</v>
      </c>
      <c r="D25" s="59" t="n">
        <f aca="false">SUM(Q25:AB25)</f>
        <v>-479865.672</v>
      </c>
      <c r="E25" s="60" t="n">
        <f aca="false">-People!E23</f>
        <v>-32882.688</v>
      </c>
      <c r="F25" s="60" t="n">
        <f aca="false">-People!F23</f>
        <v>-32680.65</v>
      </c>
      <c r="G25" s="60" t="n">
        <f aca="false">-People!G23</f>
        <v>-32252.49</v>
      </c>
      <c r="H25" s="60" t="n">
        <f aca="false">-People!H23</f>
        <v>-32853.252</v>
      </c>
      <c r="I25" s="60" t="n">
        <f aca="false">-People!I23</f>
        <v>-32399.67</v>
      </c>
      <c r="J25" s="60" t="n">
        <f aca="false">-People!J23</f>
        <v>-32649.876</v>
      </c>
      <c r="K25" s="60" t="n">
        <f aca="false">-People!K23</f>
        <v>-32562.906</v>
      </c>
      <c r="L25" s="60" t="n">
        <f aca="false">-People!L23</f>
        <v>-32718.114</v>
      </c>
      <c r="M25" s="60" t="n">
        <f aca="false">-People!M23</f>
        <v>-32647.2</v>
      </c>
      <c r="N25" s="60" t="n">
        <f aca="false">-People!N23</f>
        <v>-32647.2</v>
      </c>
      <c r="O25" s="60" t="n">
        <f aca="false">-People!O23</f>
        <v>-32647.2</v>
      </c>
      <c r="P25" s="60" t="n">
        <f aca="false">-People!P23</f>
        <v>-32647.2</v>
      </c>
      <c r="Q25" s="60" t="n">
        <f aca="false">-People!Q23</f>
        <v>-34116.324</v>
      </c>
      <c r="R25" s="60" t="n">
        <f aca="false">-People!R23</f>
        <v>-34116.324</v>
      </c>
      <c r="S25" s="60" t="n">
        <f aca="false">-People!S23</f>
        <v>-34116.324</v>
      </c>
      <c r="T25" s="60" t="n">
        <f aca="false">-People!T23</f>
        <v>-41946.3</v>
      </c>
      <c r="U25" s="60" t="n">
        <f aca="false">-People!U23</f>
        <v>-41946.3</v>
      </c>
      <c r="V25" s="60" t="n">
        <f aca="false">-People!V23</f>
        <v>-41946.3</v>
      </c>
      <c r="W25" s="60" t="n">
        <f aca="false">-People!W23</f>
        <v>-41946.3</v>
      </c>
      <c r="X25" s="60" t="n">
        <f aca="false">-People!X23</f>
        <v>-41946.3</v>
      </c>
      <c r="Y25" s="60" t="n">
        <f aca="false">-People!Y23</f>
        <v>-41946.3</v>
      </c>
      <c r="Z25" s="60" t="n">
        <f aca="false">-People!Z23</f>
        <v>-41946.3</v>
      </c>
      <c r="AA25" s="60" t="n">
        <f aca="false">-People!AA23</f>
        <v>-41946.3</v>
      </c>
      <c r="AB25" s="60" t="n">
        <f aca="false">-People!AB23</f>
        <v>-41946.3</v>
      </c>
    </row>
    <row r="26" customFormat="false" ht="15" hidden="false" customHeight="false" outlineLevel="0" collapsed="false">
      <c r="A26" s="28" t="s">
        <v>350</v>
      </c>
      <c r="B26" s="58" t="s">
        <v>57</v>
      </c>
      <c r="C26" s="59" t="n">
        <f aca="false">SUM(E26:P26)</f>
        <v>-129583.6944</v>
      </c>
      <c r="D26" s="59" t="n">
        <f aca="false">SUM(Q26:AB26)</f>
        <v>-147990.74103</v>
      </c>
      <c r="E26" s="60" t="n">
        <f aca="false">-People!E31</f>
        <v>-10550.13</v>
      </c>
      <c r="F26" s="60" t="n">
        <f aca="false">-People!F31</f>
        <v>-10502.0958</v>
      </c>
      <c r="G26" s="60" t="n">
        <f aca="false">-People!G31</f>
        <v>-10630.0755</v>
      </c>
      <c r="H26" s="60" t="n">
        <f aca="false">-People!H31</f>
        <v>-10964.0403</v>
      </c>
      <c r="I26" s="60" t="n">
        <f aca="false">-People!I31</f>
        <v>-10504.5711</v>
      </c>
      <c r="J26" s="60" t="n">
        <f aca="false">-People!J31</f>
        <v>-10496.8776</v>
      </c>
      <c r="K26" s="60" t="n">
        <f aca="false">-People!K31</f>
        <v>-10778.5935</v>
      </c>
      <c r="L26" s="60" t="n">
        <f aca="false">-People!L31</f>
        <v>-10836.0606</v>
      </c>
      <c r="M26" s="60" t="n">
        <f aca="false">-People!M31</f>
        <v>-10710.69</v>
      </c>
      <c r="N26" s="60" t="n">
        <f aca="false">-People!N31</f>
        <v>-11038.5</v>
      </c>
      <c r="O26" s="60" t="n">
        <f aca="false">-People!O31</f>
        <v>-11286.03</v>
      </c>
      <c r="P26" s="60" t="n">
        <f aca="false">-People!P31</f>
        <v>-11286.03</v>
      </c>
      <c r="Q26" s="60" t="n">
        <f aca="false">-People!Q31</f>
        <v>-11948.0540025</v>
      </c>
      <c r="R26" s="60" t="n">
        <f aca="false">-People!R31</f>
        <v>-11948.0540025</v>
      </c>
      <c r="S26" s="60" t="n">
        <f aca="false">-People!S31</f>
        <v>-12057.1143825</v>
      </c>
      <c r="T26" s="60" t="n">
        <f aca="false">-People!T31</f>
        <v>-12448.6131825</v>
      </c>
      <c r="U26" s="60" t="n">
        <f aca="false">-People!U31</f>
        <v>-12448.6131825</v>
      </c>
      <c r="V26" s="60" t="n">
        <f aca="false">-People!V31</f>
        <v>-12448.6131825</v>
      </c>
      <c r="W26" s="60" t="n">
        <f aca="false">-People!W31</f>
        <v>-12448.6131825</v>
      </c>
      <c r="X26" s="60" t="n">
        <f aca="false">-People!X31</f>
        <v>-12448.6131825</v>
      </c>
      <c r="Y26" s="60" t="n">
        <f aca="false">-People!Y31</f>
        <v>-12448.6131825</v>
      </c>
      <c r="Z26" s="60" t="n">
        <f aca="false">-People!Z31</f>
        <v>-12448.6131825</v>
      </c>
      <c r="AA26" s="60" t="n">
        <f aca="false">-People!AA31</f>
        <v>-12448.6131825</v>
      </c>
      <c r="AB26" s="60" t="n">
        <f aca="false">-People!AB31</f>
        <v>-12448.6131825</v>
      </c>
    </row>
    <row r="27" customFormat="false" ht="15" hidden="false" customHeight="false" outlineLevel="0" collapsed="false">
      <c r="A27" s="28" t="s">
        <v>351</v>
      </c>
      <c r="B27" s="58" t="s">
        <v>73</v>
      </c>
      <c r="C27" s="59" t="n">
        <f aca="false">SUM(E27:P27)</f>
        <v>-112471</v>
      </c>
      <c r="D27" s="59" t="n">
        <f aca="false">SUM(Q27:AB27)</f>
        <v>-116184</v>
      </c>
      <c r="E27" s="60" t="n">
        <f aca="false">-Overheads!E21</f>
        <v>-9198</v>
      </c>
      <c r="F27" s="60" t="n">
        <f aca="false">-Overheads!F21</f>
        <v>-10089</v>
      </c>
      <c r="G27" s="60" t="n">
        <f aca="false">-Overheads!G21</f>
        <v>-10207</v>
      </c>
      <c r="H27" s="60" t="n">
        <f aca="false">-Overheads!H21</f>
        <v>-9251</v>
      </c>
      <c r="I27" s="60" t="n">
        <f aca="false">-Overheads!I21</f>
        <v>-8699</v>
      </c>
      <c r="J27" s="60" t="n">
        <f aca="false">-Overheads!J21</f>
        <v>-9141</v>
      </c>
      <c r="K27" s="60" t="n">
        <f aca="false">-Overheads!K21</f>
        <v>-9100</v>
      </c>
      <c r="L27" s="60" t="n">
        <f aca="false">-Overheads!L21</f>
        <v>-9186</v>
      </c>
      <c r="M27" s="60" t="n">
        <f aca="false">-Overheads!M21</f>
        <v>-9400</v>
      </c>
      <c r="N27" s="60" t="n">
        <f aca="false">-Overheads!N21</f>
        <v>-9400</v>
      </c>
      <c r="O27" s="60" t="n">
        <f aca="false">-Overheads!O21</f>
        <v>-9400</v>
      </c>
      <c r="P27" s="60" t="n">
        <f aca="false">-Overheads!P21</f>
        <v>-9400</v>
      </c>
      <c r="Q27" s="60" t="n">
        <f aca="false">-Overheads!Q21</f>
        <v>-9682</v>
      </c>
      <c r="R27" s="60" t="n">
        <f aca="false">-Overheads!R21</f>
        <v>-9682</v>
      </c>
      <c r="S27" s="60" t="n">
        <f aca="false">-Overheads!S21</f>
        <v>-9682</v>
      </c>
      <c r="T27" s="60" t="n">
        <f aca="false">-Overheads!T21</f>
        <v>-9682</v>
      </c>
      <c r="U27" s="60" t="n">
        <f aca="false">-Overheads!U21</f>
        <v>-9682</v>
      </c>
      <c r="V27" s="60" t="n">
        <f aca="false">-Overheads!V21</f>
        <v>-9682</v>
      </c>
      <c r="W27" s="60" t="n">
        <f aca="false">-Overheads!W21</f>
        <v>-9682</v>
      </c>
      <c r="X27" s="60" t="n">
        <f aca="false">-Overheads!X21</f>
        <v>-9682</v>
      </c>
      <c r="Y27" s="60" t="n">
        <f aca="false">-Overheads!Y21</f>
        <v>-9682</v>
      </c>
      <c r="Z27" s="60" t="n">
        <f aca="false">-Overheads!Z21</f>
        <v>-9682</v>
      </c>
      <c r="AA27" s="60" t="n">
        <f aca="false">-Overheads!AA21</f>
        <v>-9682</v>
      </c>
      <c r="AB27" s="60" t="n">
        <f aca="false">-Overheads!AB21</f>
        <v>-9682</v>
      </c>
    </row>
    <row r="28" customFormat="false" ht="15" hidden="false" customHeight="false" outlineLevel="0" collapsed="false">
      <c r="A28" s="28" t="s">
        <v>352</v>
      </c>
      <c r="B28" s="58" t="s">
        <v>73</v>
      </c>
      <c r="C28" s="59" t="n">
        <f aca="false">SUM(E28:P28)</f>
        <v>-77410</v>
      </c>
      <c r="D28" s="59" t="n">
        <f aca="false">SUM(Q28:AB28)</f>
        <v>-80340</v>
      </c>
      <c r="E28" s="60" t="n">
        <f aca="false">-Overheads!E22</f>
        <v>-6492</v>
      </c>
      <c r="F28" s="60" t="n">
        <f aca="false">-Overheads!F22</f>
        <v>-6219</v>
      </c>
      <c r="G28" s="60" t="n">
        <f aca="false">-Overheads!G22</f>
        <v>-6515</v>
      </c>
      <c r="H28" s="60" t="n">
        <f aca="false">-Overheads!H22</f>
        <v>-6180</v>
      </c>
      <c r="I28" s="60" t="n">
        <f aca="false">-Overheads!I22</f>
        <v>-6716</v>
      </c>
      <c r="J28" s="60" t="n">
        <f aca="false">-Overheads!J22</f>
        <v>-6127</v>
      </c>
      <c r="K28" s="60" t="n">
        <f aca="false">-Overheads!K22</f>
        <v>-6748</v>
      </c>
      <c r="L28" s="60" t="n">
        <f aca="false">-Overheads!L22</f>
        <v>-6413</v>
      </c>
      <c r="M28" s="60" t="n">
        <f aca="false">-Overheads!M22</f>
        <v>-6500</v>
      </c>
      <c r="N28" s="60" t="n">
        <f aca="false">-Overheads!N22</f>
        <v>-6500</v>
      </c>
      <c r="O28" s="60" t="n">
        <f aca="false">-Overheads!O22</f>
        <v>-6500</v>
      </c>
      <c r="P28" s="60" t="n">
        <f aca="false">-Overheads!P22</f>
        <v>-6500</v>
      </c>
      <c r="Q28" s="60" t="n">
        <f aca="false">-Overheads!Q22</f>
        <v>-6695</v>
      </c>
      <c r="R28" s="60" t="n">
        <f aca="false">-Overheads!R22</f>
        <v>-6695</v>
      </c>
      <c r="S28" s="60" t="n">
        <f aca="false">-Overheads!S22</f>
        <v>-6695</v>
      </c>
      <c r="T28" s="60" t="n">
        <f aca="false">-Overheads!T22</f>
        <v>-6695</v>
      </c>
      <c r="U28" s="60" t="n">
        <f aca="false">-Overheads!U22</f>
        <v>-6695</v>
      </c>
      <c r="V28" s="60" t="n">
        <f aca="false">-Overheads!V22</f>
        <v>-6695</v>
      </c>
      <c r="W28" s="60" t="n">
        <f aca="false">-Overheads!W22</f>
        <v>-6695</v>
      </c>
      <c r="X28" s="60" t="n">
        <f aca="false">-Overheads!X22</f>
        <v>-6695</v>
      </c>
      <c r="Y28" s="60" t="n">
        <f aca="false">-Overheads!Y22</f>
        <v>-6695</v>
      </c>
      <c r="Z28" s="60" t="n">
        <f aca="false">-Overheads!Z22</f>
        <v>-6695</v>
      </c>
      <c r="AA28" s="60" t="n">
        <f aca="false">-Overheads!AA22</f>
        <v>-6695</v>
      </c>
      <c r="AB28" s="60" t="n">
        <f aca="false">-Overheads!AB22</f>
        <v>-6695</v>
      </c>
    </row>
    <row r="29" customFormat="false" ht="15" hidden="false" customHeight="false" outlineLevel="0" collapsed="false">
      <c r="A29" s="28" t="s">
        <v>353</v>
      </c>
      <c r="B29" s="58" t="s">
        <v>73</v>
      </c>
      <c r="C29" s="59" t="n">
        <f aca="false">SUM(E29:P29)</f>
        <v>-60057</v>
      </c>
      <c r="D29" s="59" t="n">
        <f aca="false">SUM(Q29:AB29)</f>
        <v>-63036</v>
      </c>
      <c r="E29" s="60" t="n">
        <f aca="false">-Overheads!E23</f>
        <v>-3394</v>
      </c>
      <c r="F29" s="60" t="n">
        <f aca="false">-Overheads!F23</f>
        <v>-6861</v>
      </c>
      <c r="G29" s="60" t="n">
        <f aca="false">-Overheads!G23</f>
        <v>-6969</v>
      </c>
      <c r="H29" s="60" t="n">
        <f aca="false">-Overheads!H23</f>
        <v>-6196</v>
      </c>
      <c r="I29" s="60" t="n">
        <f aca="false">-Overheads!I23</f>
        <v>-6591</v>
      </c>
      <c r="J29" s="60" t="n">
        <f aca="false">-Overheads!J23</f>
        <v>-4368</v>
      </c>
      <c r="K29" s="60" t="n">
        <f aca="false">-Overheads!K23</f>
        <v>-2245</v>
      </c>
      <c r="L29" s="60" t="n">
        <f aca="false">-Overheads!L23</f>
        <v>-3033</v>
      </c>
      <c r="M29" s="60" t="n">
        <f aca="false">-Overheads!M23</f>
        <v>-5100</v>
      </c>
      <c r="N29" s="60" t="n">
        <f aca="false">-Overheads!N23</f>
        <v>-5100</v>
      </c>
      <c r="O29" s="60" t="n">
        <f aca="false">-Overheads!O23</f>
        <v>-5100</v>
      </c>
      <c r="P29" s="60" t="n">
        <f aca="false">-Overheads!P23</f>
        <v>-5100</v>
      </c>
      <c r="Q29" s="60" t="n">
        <f aca="false">-Overheads!Q23</f>
        <v>-5253</v>
      </c>
      <c r="R29" s="60" t="n">
        <f aca="false">-Overheads!R23</f>
        <v>-5253</v>
      </c>
      <c r="S29" s="60" t="n">
        <f aca="false">-Overheads!S23</f>
        <v>-5253</v>
      </c>
      <c r="T29" s="60" t="n">
        <f aca="false">-Overheads!T23</f>
        <v>-5253</v>
      </c>
      <c r="U29" s="60" t="n">
        <f aca="false">-Overheads!U23</f>
        <v>-5253</v>
      </c>
      <c r="V29" s="60" t="n">
        <f aca="false">-Overheads!V23</f>
        <v>-5253</v>
      </c>
      <c r="W29" s="60" t="n">
        <f aca="false">-Overheads!W23</f>
        <v>-5253</v>
      </c>
      <c r="X29" s="60" t="n">
        <f aca="false">-Overheads!X23</f>
        <v>-5253</v>
      </c>
      <c r="Y29" s="60" t="n">
        <f aca="false">-Overheads!Y23</f>
        <v>-5253</v>
      </c>
      <c r="Z29" s="60" t="n">
        <f aca="false">-Overheads!Z23</f>
        <v>-5253</v>
      </c>
      <c r="AA29" s="60" t="n">
        <f aca="false">-Overheads!AA23</f>
        <v>-5253</v>
      </c>
      <c r="AB29" s="60" t="n">
        <f aca="false">-Overheads!AB23</f>
        <v>-5253</v>
      </c>
    </row>
    <row r="30" customFormat="false" ht="15" hidden="false" customHeight="false" outlineLevel="0" collapsed="false">
      <c r="A30" s="28" t="s">
        <v>354</v>
      </c>
      <c r="B30" s="58" t="s">
        <v>73</v>
      </c>
      <c r="C30" s="59" t="n">
        <f aca="false">SUM(E30:P30)</f>
        <v>-45698</v>
      </c>
      <c r="D30" s="59" t="n">
        <f aca="false">SUM(Q30:AB30)</f>
        <v>-45732</v>
      </c>
      <c r="E30" s="60" t="n">
        <f aca="false">-Overheads!E24</f>
        <v>-2068</v>
      </c>
      <c r="F30" s="60" t="n">
        <f aca="false">-Overheads!F24</f>
        <v>-3304</v>
      </c>
      <c r="G30" s="60" t="n">
        <f aca="false">-Overheads!G24</f>
        <v>-3646</v>
      </c>
      <c r="H30" s="60" t="n">
        <f aca="false">-Overheads!H24</f>
        <v>-4548</v>
      </c>
      <c r="I30" s="60" t="n">
        <f aca="false">-Overheads!I24</f>
        <v>-9013</v>
      </c>
      <c r="J30" s="60" t="n">
        <f aca="false">-Overheads!J24</f>
        <v>-4228</v>
      </c>
      <c r="K30" s="60" t="n">
        <f aca="false">-Overheads!K24</f>
        <v>-1510</v>
      </c>
      <c r="L30" s="60" t="n">
        <f aca="false">-Overheads!L24</f>
        <v>-2581</v>
      </c>
      <c r="M30" s="60" t="n">
        <f aca="false">-Overheads!M24</f>
        <v>-3700</v>
      </c>
      <c r="N30" s="60" t="n">
        <f aca="false">-Overheads!N24</f>
        <v>-3700</v>
      </c>
      <c r="O30" s="60" t="n">
        <f aca="false">-Overheads!O24</f>
        <v>-3700</v>
      </c>
      <c r="P30" s="60" t="n">
        <f aca="false">-Overheads!P24</f>
        <v>-3700</v>
      </c>
      <c r="Q30" s="60" t="n">
        <f aca="false">-Overheads!Q24</f>
        <v>-3811</v>
      </c>
      <c r="R30" s="60" t="n">
        <f aca="false">-Overheads!R24</f>
        <v>-3811</v>
      </c>
      <c r="S30" s="60" t="n">
        <f aca="false">-Overheads!S24</f>
        <v>-3811</v>
      </c>
      <c r="T30" s="60" t="n">
        <f aca="false">-Overheads!T24</f>
        <v>-3811</v>
      </c>
      <c r="U30" s="60" t="n">
        <f aca="false">-Overheads!U24</f>
        <v>-3811</v>
      </c>
      <c r="V30" s="60" t="n">
        <f aca="false">-Overheads!V24</f>
        <v>-3811</v>
      </c>
      <c r="W30" s="60" t="n">
        <f aca="false">-Overheads!W24</f>
        <v>-3811</v>
      </c>
      <c r="X30" s="60" t="n">
        <f aca="false">-Overheads!X24</f>
        <v>-3811</v>
      </c>
      <c r="Y30" s="60" t="n">
        <f aca="false">-Overheads!Y24</f>
        <v>-3811</v>
      </c>
      <c r="Z30" s="60" t="n">
        <f aca="false">-Overheads!Z24</f>
        <v>-3811</v>
      </c>
      <c r="AA30" s="60" t="n">
        <f aca="false">-Overheads!AA24</f>
        <v>-3811</v>
      </c>
      <c r="AB30" s="60" t="n">
        <f aca="false">-Overheads!AB24</f>
        <v>-3811</v>
      </c>
    </row>
    <row r="31" customFormat="false" ht="15" hidden="false" customHeight="false" outlineLevel="0" collapsed="false">
      <c r="A31" s="28" t="s">
        <v>355</v>
      </c>
      <c r="B31" s="58" t="s">
        <v>73</v>
      </c>
      <c r="C31" s="59" t="n">
        <f aca="false">SUM(E31:P31)</f>
        <v>-27600</v>
      </c>
      <c r="D31" s="59" t="n">
        <f aca="false">SUM(Q31:AB31)</f>
        <v>-18213</v>
      </c>
      <c r="E31" s="60" t="n">
        <f aca="false">-Overheads!E25</f>
        <v>-800</v>
      </c>
      <c r="F31" s="60" t="n">
        <f aca="false">-Overheads!F25</f>
        <v>-800</v>
      </c>
      <c r="G31" s="60" t="n">
        <f aca="false">-Overheads!G25</f>
        <v>-5300</v>
      </c>
      <c r="H31" s="60" t="n">
        <f aca="false">-Overheads!H25</f>
        <v>-800</v>
      </c>
      <c r="I31" s="60" t="n">
        <f aca="false">-Overheads!I25</f>
        <v>-800</v>
      </c>
      <c r="J31" s="60" t="n">
        <f aca="false">-Overheads!J25</f>
        <v>-800</v>
      </c>
      <c r="K31" s="60" t="n">
        <f aca="false">-Overheads!K25</f>
        <v>-5300</v>
      </c>
      <c r="L31" s="60" t="n">
        <f aca="false">-Overheads!L25</f>
        <v>-800</v>
      </c>
      <c r="M31" s="60" t="n">
        <f aca="false">-Overheads!M25</f>
        <v>-800</v>
      </c>
      <c r="N31" s="60" t="n">
        <f aca="false">-Overheads!N25</f>
        <v>-5300</v>
      </c>
      <c r="O31" s="60" t="n">
        <f aca="false">-Overheads!O25</f>
        <v>-5300</v>
      </c>
      <c r="P31" s="60" t="n">
        <f aca="false">-Overheads!P25</f>
        <v>-800</v>
      </c>
      <c r="Q31" s="60" t="n">
        <f aca="false">-Overheads!Q25</f>
        <v>-2849</v>
      </c>
      <c r="R31" s="60" t="n">
        <f aca="false">-Overheads!R25</f>
        <v>-824</v>
      </c>
      <c r="S31" s="60" t="n">
        <f aca="false">-Overheads!S25</f>
        <v>-2624</v>
      </c>
      <c r="T31" s="60" t="n">
        <f aca="false">-Overheads!T25</f>
        <v>-5324</v>
      </c>
      <c r="U31" s="60" t="n">
        <f aca="false">-Overheads!U25</f>
        <v>-824</v>
      </c>
      <c r="V31" s="60" t="n">
        <f aca="false">-Overheads!V25</f>
        <v>-824</v>
      </c>
      <c r="W31" s="60" t="n">
        <f aca="false">-Overheads!W25</f>
        <v>-824</v>
      </c>
      <c r="X31" s="60" t="n">
        <f aca="false">-Overheads!X25</f>
        <v>-824</v>
      </c>
      <c r="Y31" s="60" t="n">
        <f aca="false">-Overheads!Y25</f>
        <v>-824</v>
      </c>
      <c r="Z31" s="60" t="n">
        <f aca="false">-Overheads!Z25</f>
        <v>-824</v>
      </c>
      <c r="AA31" s="60" t="n">
        <f aca="false">-Overheads!AA25</f>
        <v>-824</v>
      </c>
      <c r="AB31" s="60" t="n">
        <f aca="false">-Overheads!AB25</f>
        <v>-824</v>
      </c>
    </row>
    <row r="32" customFormat="false" ht="15" hidden="false" customHeight="false" outlineLevel="0" collapsed="false">
      <c r="A32" s="28" t="s">
        <v>356</v>
      </c>
      <c r="B32" s="58" t="s">
        <v>73</v>
      </c>
      <c r="C32" s="59" t="n">
        <f aca="false">SUM(E32:P32)</f>
        <v>-26574</v>
      </c>
      <c r="D32" s="59" t="n">
        <f aca="false">SUM(Q32:AB32)</f>
        <v>-27192</v>
      </c>
      <c r="E32" s="60" t="n">
        <f aca="false">-Overheads!E26</f>
        <v>-2451</v>
      </c>
      <c r="F32" s="60" t="n">
        <f aca="false">-Overheads!F26</f>
        <v>-2109</v>
      </c>
      <c r="G32" s="60" t="n">
        <f aca="false">-Overheads!G26</f>
        <v>-1927</v>
      </c>
      <c r="H32" s="60" t="n">
        <f aca="false">-Overheads!H26</f>
        <v>-2264</v>
      </c>
      <c r="I32" s="60" t="n">
        <f aca="false">-Overheads!I26</f>
        <v>-2331</v>
      </c>
      <c r="J32" s="60" t="n">
        <f aca="false">-Overheads!J26</f>
        <v>-2140</v>
      </c>
      <c r="K32" s="60" t="n">
        <f aca="false">-Overheads!K26</f>
        <v>-2328</v>
      </c>
      <c r="L32" s="60" t="n">
        <f aca="false">-Overheads!L26</f>
        <v>-2224</v>
      </c>
      <c r="M32" s="60" t="n">
        <f aca="false">-Overheads!M26</f>
        <v>-2200</v>
      </c>
      <c r="N32" s="60" t="n">
        <f aca="false">-Overheads!N26</f>
        <v>-2200</v>
      </c>
      <c r="O32" s="60" t="n">
        <f aca="false">-Overheads!O26</f>
        <v>-2200</v>
      </c>
      <c r="P32" s="60" t="n">
        <f aca="false">-Overheads!P26</f>
        <v>-2200</v>
      </c>
      <c r="Q32" s="60" t="n">
        <f aca="false">-Overheads!Q26</f>
        <v>-2266</v>
      </c>
      <c r="R32" s="60" t="n">
        <f aca="false">-Overheads!R26</f>
        <v>-2266</v>
      </c>
      <c r="S32" s="60" t="n">
        <f aca="false">-Overheads!S26</f>
        <v>-2266</v>
      </c>
      <c r="T32" s="60" t="n">
        <f aca="false">-Overheads!T26</f>
        <v>-2266</v>
      </c>
      <c r="U32" s="60" t="n">
        <f aca="false">-Overheads!U26</f>
        <v>-2266</v>
      </c>
      <c r="V32" s="60" t="n">
        <f aca="false">-Overheads!V26</f>
        <v>-2266</v>
      </c>
      <c r="W32" s="60" t="n">
        <f aca="false">-Overheads!W26</f>
        <v>-2266</v>
      </c>
      <c r="X32" s="60" t="n">
        <f aca="false">-Overheads!X26</f>
        <v>-2266</v>
      </c>
      <c r="Y32" s="60" t="n">
        <f aca="false">-Overheads!Y26</f>
        <v>-2266</v>
      </c>
      <c r="Z32" s="60" t="n">
        <f aca="false">-Overheads!Z26</f>
        <v>-2266</v>
      </c>
      <c r="AA32" s="60" t="n">
        <f aca="false">-Overheads!AA26</f>
        <v>-2266</v>
      </c>
      <c r="AB32" s="60" t="n">
        <f aca="false">-Overheads!AB26</f>
        <v>-2266</v>
      </c>
    </row>
    <row r="33" customFormat="false" ht="15" hidden="false" customHeight="false" outlineLevel="0" collapsed="false">
      <c r="A33" s="28" t="s">
        <v>357</v>
      </c>
      <c r="B33" s="58" t="s">
        <v>73</v>
      </c>
      <c r="C33" s="59" t="n">
        <f aca="false">SUM(E33:P33)</f>
        <v>-31527</v>
      </c>
      <c r="D33" s="59" t="n">
        <f aca="false">SUM(Q33:AB33)</f>
        <v>-32136</v>
      </c>
      <c r="E33" s="60" t="n">
        <f aca="false">-Overheads!E27</f>
        <v>-2542</v>
      </c>
      <c r="F33" s="60" t="n">
        <f aca="false">-Overheads!F27</f>
        <v>-2755</v>
      </c>
      <c r="G33" s="60" t="n">
        <f aca="false">-Overheads!G27</f>
        <v>-2762</v>
      </c>
      <c r="H33" s="60" t="n">
        <f aca="false">-Overheads!H27</f>
        <v>-2741</v>
      </c>
      <c r="I33" s="60" t="n">
        <f aca="false">-Overheads!I27</f>
        <v>-2746</v>
      </c>
      <c r="J33" s="60" t="n">
        <f aca="false">-Overheads!J27</f>
        <v>-2612</v>
      </c>
      <c r="K33" s="60" t="n">
        <f aca="false">-Overheads!K27</f>
        <v>-2401</v>
      </c>
      <c r="L33" s="60" t="n">
        <f aca="false">-Overheads!L27</f>
        <v>-2568</v>
      </c>
      <c r="M33" s="60" t="n">
        <f aca="false">-Overheads!M27</f>
        <v>-2600</v>
      </c>
      <c r="N33" s="60" t="n">
        <f aca="false">-Overheads!N27</f>
        <v>-2600</v>
      </c>
      <c r="O33" s="60" t="n">
        <f aca="false">-Overheads!O27</f>
        <v>-2600</v>
      </c>
      <c r="P33" s="60" t="n">
        <f aca="false">-Overheads!P27</f>
        <v>-2600</v>
      </c>
      <c r="Q33" s="60" t="n">
        <f aca="false">-Overheads!Q27</f>
        <v>-2678</v>
      </c>
      <c r="R33" s="60" t="n">
        <f aca="false">-Overheads!R27</f>
        <v>-2678</v>
      </c>
      <c r="S33" s="60" t="n">
        <f aca="false">-Overheads!S27</f>
        <v>-2678</v>
      </c>
      <c r="T33" s="60" t="n">
        <f aca="false">-Overheads!T27</f>
        <v>-2678</v>
      </c>
      <c r="U33" s="60" t="n">
        <f aca="false">-Overheads!U27</f>
        <v>-2678</v>
      </c>
      <c r="V33" s="60" t="n">
        <f aca="false">-Overheads!V27</f>
        <v>-2678</v>
      </c>
      <c r="W33" s="60" t="n">
        <f aca="false">-Overheads!W27</f>
        <v>-2678</v>
      </c>
      <c r="X33" s="60" t="n">
        <f aca="false">-Overheads!X27</f>
        <v>-2678</v>
      </c>
      <c r="Y33" s="60" t="n">
        <f aca="false">-Overheads!Y27</f>
        <v>-2678</v>
      </c>
      <c r="Z33" s="60" t="n">
        <f aca="false">-Overheads!Z27</f>
        <v>-2678</v>
      </c>
      <c r="AA33" s="60" t="n">
        <f aca="false">-Overheads!AA27</f>
        <v>-2678</v>
      </c>
      <c r="AB33" s="60" t="n">
        <f aca="false">-Overheads!AB27</f>
        <v>-2678</v>
      </c>
    </row>
    <row r="34" customFormat="false" ht="15" hidden="false" customHeight="false" outlineLevel="0" collapsed="false">
      <c r="A34" s="28" t="s">
        <v>358</v>
      </c>
      <c r="B34" s="58" t="s">
        <v>73</v>
      </c>
      <c r="C34" s="59" t="n">
        <f aca="false">SUM(E34:P34)</f>
        <v>-10528</v>
      </c>
      <c r="D34" s="59" t="n">
        <f aca="false">SUM(Q34:AB34)</f>
        <v>-11124</v>
      </c>
      <c r="E34" s="60" t="n">
        <f aca="false">-Overheads!E28</f>
        <v>-892</v>
      </c>
      <c r="F34" s="60" t="n">
        <f aca="false">-Overheads!F28</f>
        <v>-811</v>
      </c>
      <c r="G34" s="60" t="n">
        <f aca="false">-Overheads!G28</f>
        <v>-940</v>
      </c>
      <c r="H34" s="60" t="n">
        <f aca="false">-Overheads!H28</f>
        <v>-894</v>
      </c>
      <c r="I34" s="60" t="n">
        <f aca="false">-Overheads!I28</f>
        <v>-821</v>
      </c>
      <c r="J34" s="60" t="n">
        <f aca="false">-Overheads!J28</f>
        <v>-944</v>
      </c>
      <c r="K34" s="60" t="n">
        <f aca="false">-Overheads!K28</f>
        <v>-798</v>
      </c>
      <c r="L34" s="60" t="n">
        <f aca="false">-Overheads!L28</f>
        <v>-828</v>
      </c>
      <c r="M34" s="60" t="n">
        <f aca="false">-Overheads!M28</f>
        <v>-900</v>
      </c>
      <c r="N34" s="60" t="n">
        <f aca="false">-Overheads!N28</f>
        <v>-900</v>
      </c>
      <c r="O34" s="60" t="n">
        <f aca="false">-Overheads!O28</f>
        <v>-900</v>
      </c>
      <c r="P34" s="60" t="n">
        <f aca="false">-Overheads!P28</f>
        <v>-900</v>
      </c>
      <c r="Q34" s="60" t="n">
        <f aca="false">-Overheads!Q28</f>
        <v>-927</v>
      </c>
      <c r="R34" s="60" t="n">
        <f aca="false">-Overheads!R28</f>
        <v>-927</v>
      </c>
      <c r="S34" s="60" t="n">
        <f aca="false">-Overheads!S28</f>
        <v>-927</v>
      </c>
      <c r="T34" s="60" t="n">
        <f aca="false">-Overheads!T28</f>
        <v>-927</v>
      </c>
      <c r="U34" s="60" t="n">
        <f aca="false">-Overheads!U28</f>
        <v>-927</v>
      </c>
      <c r="V34" s="60" t="n">
        <f aca="false">-Overheads!V28</f>
        <v>-927</v>
      </c>
      <c r="W34" s="60" t="n">
        <f aca="false">-Overheads!W28</f>
        <v>-927</v>
      </c>
      <c r="X34" s="60" t="n">
        <f aca="false">-Overheads!X28</f>
        <v>-927</v>
      </c>
      <c r="Y34" s="60" t="n">
        <f aca="false">-Overheads!Y28</f>
        <v>-927</v>
      </c>
      <c r="Z34" s="60" t="n">
        <f aca="false">-Overheads!Z28</f>
        <v>-927</v>
      </c>
      <c r="AA34" s="60" t="n">
        <f aca="false">-Overheads!AA28</f>
        <v>-927</v>
      </c>
      <c r="AB34" s="60" t="n">
        <f aca="false">-Overheads!AB28</f>
        <v>-927</v>
      </c>
    </row>
    <row r="35" customFormat="false" ht="15" hidden="false" customHeight="false" outlineLevel="0" collapsed="false">
      <c r="A35" s="28" t="s">
        <v>359</v>
      </c>
      <c r="B35" s="58" t="s">
        <v>73</v>
      </c>
      <c r="C35" s="59" t="n">
        <f aca="false">SUM(E35:P35)</f>
        <v>-24145</v>
      </c>
      <c r="D35" s="59" t="n">
        <f aca="false">SUM(Q35:AB35)</f>
        <v>-25956</v>
      </c>
      <c r="E35" s="60" t="n">
        <f aca="false">-Overheads!E29</f>
        <v>-2141</v>
      </c>
      <c r="F35" s="60" t="n">
        <f aca="false">-Overheads!F29</f>
        <v>-2044</v>
      </c>
      <c r="G35" s="60" t="n">
        <f aca="false">-Overheads!G29</f>
        <v>-1753</v>
      </c>
      <c r="H35" s="60" t="n">
        <f aca="false">-Overheads!H29</f>
        <v>-2033</v>
      </c>
      <c r="I35" s="60" t="n">
        <f aca="false">-Overheads!I29</f>
        <v>-1969</v>
      </c>
      <c r="J35" s="60" t="n">
        <f aca="false">-Overheads!J29</f>
        <v>-1948</v>
      </c>
      <c r="K35" s="60" t="n">
        <f aca="false">-Overheads!K29</f>
        <v>-2051</v>
      </c>
      <c r="L35" s="60" t="n">
        <f aca="false">-Overheads!L29</f>
        <v>-1806</v>
      </c>
      <c r="M35" s="60" t="n">
        <f aca="false">-Overheads!M29</f>
        <v>-2100</v>
      </c>
      <c r="N35" s="60" t="n">
        <f aca="false">-Overheads!N29</f>
        <v>-2100</v>
      </c>
      <c r="O35" s="60" t="n">
        <f aca="false">-Overheads!O29</f>
        <v>-2100</v>
      </c>
      <c r="P35" s="60" t="n">
        <f aca="false">-Overheads!P29</f>
        <v>-2100</v>
      </c>
      <c r="Q35" s="60" t="n">
        <f aca="false">-Overheads!Q29</f>
        <v>-2163</v>
      </c>
      <c r="R35" s="60" t="n">
        <f aca="false">-Overheads!R29</f>
        <v>-2163</v>
      </c>
      <c r="S35" s="60" t="n">
        <f aca="false">-Overheads!S29</f>
        <v>-2163</v>
      </c>
      <c r="T35" s="60" t="n">
        <f aca="false">-Overheads!T29</f>
        <v>-2163</v>
      </c>
      <c r="U35" s="60" t="n">
        <f aca="false">-Overheads!U29</f>
        <v>-2163</v>
      </c>
      <c r="V35" s="60" t="n">
        <f aca="false">-Overheads!V29</f>
        <v>-2163</v>
      </c>
      <c r="W35" s="60" t="n">
        <f aca="false">-Overheads!W29</f>
        <v>-2163</v>
      </c>
      <c r="X35" s="60" t="n">
        <f aca="false">-Overheads!X29</f>
        <v>-2163</v>
      </c>
      <c r="Y35" s="60" t="n">
        <f aca="false">-Overheads!Y29</f>
        <v>-2163</v>
      </c>
      <c r="Z35" s="60" t="n">
        <f aca="false">-Overheads!Z29</f>
        <v>-2163</v>
      </c>
      <c r="AA35" s="60" t="n">
        <f aca="false">-Overheads!AA29</f>
        <v>-2163</v>
      </c>
      <c r="AB35" s="60" t="n">
        <f aca="false">-Overheads!AB29</f>
        <v>-2163</v>
      </c>
    </row>
    <row r="36" customFormat="false" ht="15" hidden="false" customHeight="false" outlineLevel="0" collapsed="false">
      <c r="A36" s="28" t="s">
        <v>360</v>
      </c>
      <c r="B36" s="58" t="s">
        <v>73</v>
      </c>
      <c r="C36" s="59" t="n">
        <f aca="false">SUM(E36:P36)</f>
        <v>-22664</v>
      </c>
      <c r="D36" s="59" t="n">
        <f aca="false">SUM(Q36:AB36)</f>
        <v>-23484</v>
      </c>
      <c r="E36" s="60" t="n">
        <f aca="false">-Overheads!E30</f>
        <v>-1684</v>
      </c>
      <c r="F36" s="60" t="n">
        <f aca="false">-Overheads!F30</f>
        <v>-1670</v>
      </c>
      <c r="G36" s="60" t="n">
        <f aca="false">-Overheads!G30</f>
        <v>-2012</v>
      </c>
      <c r="H36" s="60" t="n">
        <f aca="false">-Overheads!H30</f>
        <v>-1831</v>
      </c>
      <c r="I36" s="60" t="n">
        <f aca="false">-Overheads!I30</f>
        <v>-2054</v>
      </c>
      <c r="J36" s="60" t="n">
        <f aca="false">-Overheads!J30</f>
        <v>-2015</v>
      </c>
      <c r="K36" s="60" t="n">
        <f aca="false">-Overheads!K30</f>
        <v>-1685</v>
      </c>
      <c r="L36" s="60" t="n">
        <f aca="false">-Overheads!L30</f>
        <v>-2113</v>
      </c>
      <c r="M36" s="60" t="n">
        <f aca="false">-Overheads!M30</f>
        <v>-1900</v>
      </c>
      <c r="N36" s="60" t="n">
        <f aca="false">-Overheads!N30</f>
        <v>-1900</v>
      </c>
      <c r="O36" s="60" t="n">
        <f aca="false">-Overheads!O30</f>
        <v>-1900</v>
      </c>
      <c r="P36" s="60" t="n">
        <f aca="false">-Overheads!P30</f>
        <v>-1900</v>
      </c>
      <c r="Q36" s="60" t="n">
        <f aca="false">-Overheads!Q30</f>
        <v>-1957</v>
      </c>
      <c r="R36" s="60" t="n">
        <f aca="false">-Overheads!R30</f>
        <v>-1957</v>
      </c>
      <c r="S36" s="60" t="n">
        <f aca="false">-Overheads!S30</f>
        <v>-1957</v>
      </c>
      <c r="T36" s="60" t="n">
        <f aca="false">-Overheads!T30</f>
        <v>-1957</v>
      </c>
      <c r="U36" s="60" t="n">
        <f aca="false">-Overheads!U30</f>
        <v>-1957</v>
      </c>
      <c r="V36" s="60" t="n">
        <f aca="false">-Overheads!V30</f>
        <v>-1957</v>
      </c>
      <c r="W36" s="60" t="n">
        <f aca="false">-Overheads!W30</f>
        <v>-1957</v>
      </c>
      <c r="X36" s="60" t="n">
        <f aca="false">-Overheads!X30</f>
        <v>-1957</v>
      </c>
      <c r="Y36" s="60" t="n">
        <f aca="false">-Overheads!Y30</f>
        <v>-1957</v>
      </c>
      <c r="Z36" s="60" t="n">
        <f aca="false">-Overheads!Z30</f>
        <v>-1957</v>
      </c>
      <c r="AA36" s="60" t="n">
        <f aca="false">-Overheads!AA30</f>
        <v>-1957</v>
      </c>
      <c r="AB36" s="60" t="n">
        <f aca="false">-Overheads!AB30</f>
        <v>-1957</v>
      </c>
    </row>
    <row r="37" customFormat="false" ht="15" hidden="false" customHeight="false" outlineLevel="0" collapsed="false">
      <c r="A37" s="28" t="s">
        <v>361</v>
      </c>
      <c r="B37" s="58" t="s">
        <v>73</v>
      </c>
      <c r="C37" s="59" t="n">
        <f aca="false">SUM(E37:P37)</f>
        <v>-13504</v>
      </c>
      <c r="D37" s="59" t="n">
        <f aca="false">SUM(Q37:AB37)</f>
        <v>-14214</v>
      </c>
      <c r="E37" s="60" t="n">
        <f aca="false">-Overheads!E31</f>
        <v>-1283</v>
      </c>
      <c r="F37" s="60" t="n">
        <f aca="false">-Overheads!F31</f>
        <v>-978</v>
      </c>
      <c r="G37" s="60" t="n">
        <f aca="false">-Overheads!G31</f>
        <v>-1053</v>
      </c>
      <c r="H37" s="60" t="n">
        <f aca="false">-Overheads!H31</f>
        <v>-1177</v>
      </c>
      <c r="I37" s="60" t="n">
        <f aca="false">-Overheads!I31</f>
        <v>-1138</v>
      </c>
      <c r="J37" s="60" t="n">
        <f aca="false">-Overheads!J31</f>
        <v>-1127</v>
      </c>
      <c r="K37" s="60" t="n">
        <f aca="false">-Overheads!K31</f>
        <v>-1120</v>
      </c>
      <c r="L37" s="60" t="n">
        <f aca="false">-Overheads!L31</f>
        <v>-1028</v>
      </c>
      <c r="M37" s="60" t="n">
        <f aca="false">-Overheads!M31</f>
        <v>-1150</v>
      </c>
      <c r="N37" s="60" t="n">
        <f aca="false">-Overheads!N31</f>
        <v>-1150</v>
      </c>
      <c r="O37" s="60" t="n">
        <f aca="false">-Overheads!O31</f>
        <v>-1150</v>
      </c>
      <c r="P37" s="60" t="n">
        <f aca="false">-Overheads!P31</f>
        <v>-1150</v>
      </c>
      <c r="Q37" s="60" t="n">
        <f aca="false">-Overheads!Q31</f>
        <v>-1184.5</v>
      </c>
      <c r="R37" s="60" t="n">
        <f aca="false">-Overheads!R31</f>
        <v>-1184.5</v>
      </c>
      <c r="S37" s="60" t="n">
        <f aca="false">-Overheads!S31</f>
        <v>-1184.5</v>
      </c>
      <c r="T37" s="60" t="n">
        <f aca="false">-Overheads!T31</f>
        <v>-1184.5</v>
      </c>
      <c r="U37" s="60" t="n">
        <f aca="false">-Overheads!U31</f>
        <v>-1184.5</v>
      </c>
      <c r="V37" s="60" t="n">
        <f aca="false">-Overheads!V31</f>
        <v>-1184.5</v>
      </c>
      <c r="W37" s="60" t="n">
        <f aca="false">-Overheads!W31</f>
        <v>-1184.5</v>
      </c>
      <c r="X37" s="60" t="n">
        <f aca="false">-Overheads!X31</f>
        <v>-1184.5</v>
      </c>
      <c r="Y37" s="60" t="n">
        <f aca="false">-Overheads!Y31</f>
        <v>-1184.5</v>
      </c>
      <c r="Z37" s="60" t="n">
        <f aca="false">-Overheads!Z31</f>
        <v>-1184.5</v>
      </c>
      <c r="AA37" s="60" t="n">
        <f aca="false">-Overheads!AA31</f>
        <v>-1184.5</v>
      </c>
      <c r="AB37" s="60" t="n">
        <f aca="false">-Overheads!AB31</f>
        <v>-1184.5</v>
      </c>
    </row>
    <row r="38" customFormat="false" ht="15" hidden="false" customHeight="false" outlineLevel="0" collapsed="false">
      <c r="A38" s="28" t="s">
        <v>362</v>
      </c>
      <c r="B38" s="58" t="s">
        <v>63</v>
      </c>
      <c r="C38" s="59" t="n">
        <f aca="false">SUM(E38:P38)</f>
        <v>-7114.5222490514</v>
      </c>
      <c r="D38" s="59" t="n">
        <f aca="false">SUM(Q38:AB38)</f>
        <v>0</v>
      </c>
      <c r="E38" s="60" t="n">
        <f aca="false">-Receivables!E15</f>
        <v>-0</v>
      </c>
      <c r="F38" s="60" t="n">
        <f aca="false">-Receivables!F15</f>
        <v>-0</v>
      </c>
      <c r="G38" s="60" t="n">
        <f aca="false">-Receivables!G15</f>
        <v>-0</v>
      </c>
      <c r="H38" s="60" t="n">
        <f aca="false">-Receivables!H15</f>
        <v>-0</v>
      </c>
      <c r="I38" s="60" t="n">
        <f aca="false">-Receivables!I15</f>
        <v>-0</v>
      </c>
      <c r="J38" s="60" t="n">
        <f aca="false">-Receivables!J15</f>
        <v>-7240.65</v>
      </c>
      <c r="K38" s="60" t="n">
        <f aca="false">-Receivables!K15</f>
        <v>-0</v>
      </c>
      <c r="L38" s="60" t="n">
        <f aca="false">-Receivables!L15</f>
        <v>-0</v>
      </c>
      <c r="M38" s="60" t="n">
        <f aca="false">-Receivables!M15</f>
        <v>-0</v>
      </c>
      <c r="N38" s="60" t="n">
        <f aca="false">-Receivables!N15</f>
        <v>-0</v>
      </c>
      <c r="O38" s="60" t="n">
        <f aca="false">-Receivables!O15</f>
        <v>126.127750948603</v>
      </c>
      <c r="P38" s="60" t="n">
        <f aca="false">-Receivables!P15</f>
        <v>-0</v>
      </c>
      <c r="Q38" s="60" t="n">
        <f aca="false">-Receivables!Q15</f>
        <v>-0</v>
      </c>
      <c r="R38" s="60" t="n">
        <f aca="false">-Receivables!R15</f>
        <v>-0</v>
      </c>
      <c r="S38" s="60" t="n">
        <f aca="false">-Receivables!S15</f>
        <v>-0</v>
      </c>
      <c r="T38" s="60" t="n">
        <f aca="false">-Receivables!T15</f>
        <v>-0</v>
      </c>
      <c r="U38" s="60" t="n">
        <f aca="false">-Receivables!U15</f>
        <v>-0</v>
      </c>
      <c r="V38" s="60" t="n">
        <f aca="false">-Receivables!V15</f>
        <v>-0</v>
      </c>
      <c r="W38" s="60" t="n">
        <f aca="false">-Receivables!W15</f>
        <v>-0</v>
      </c>
      <c r="X38" s="60" t="n">
        <f aca="false">-Receivables!X15</f>
        <v>-0</v>
      </c>
      <c r="Y38" s="60" t="n">
        <f aca="false">-Receivables!Y15</f>
        <v>-0</v>
      </c>
      <c r="Z38" s="60" t="n">
        <f aca="false">-Receivables!Z15</f>
        <v>-0</v>
      </c>
      <c r="AA38" s="60" t="n">
        <f aca="false">-Receivables!AA15</f>
        <v>-0</v>
      </c>
      <c r="AB38" s="60" t="n">
        <f aca="false">-Receivables!AB15</f>
        <v>-0</v>
      </c>
    </row>
    <row r="39" customFormat="false" ht="15" hidden="false" customHeight="false" outlineLevel="0" collapsed="false">
      <c r="A39" s="68" t="s">
        <v>363</v>
      </c>
      <c r="B39" s="69"/>
      <c r="C39" s="70" t="n">
        <f aca="false">SUM(E39:P39)</f>
        <v>-980464.662649051</v>
      </c>
      <c r="D39" s="70" t="n">
        <f aca="false">SUM(Q39:AB39)</f>
        <v>-1085467.41303</v>
      </c>
      <c r="E39" s="70" t="n">
        <f aca="false">SUM(E25:E38)</f>
        <v>-76377.818</v>
      </c>
      <c r="F39" s="70" t="n">
        <f aca="false">SUM(F25:F38)</f>
        <v>-80822.7458</v>
      </c>
      <c r="G39" s="70" t="n">
        <f aca="false">SUM(G25:G38)</f>
        <v>-85966.5655</v>
      </c>
      <c r="H39" s="70" t="n">
        <f aca="false">SUM(H25:H38)</f>
        <v>-81732.2923</v>
      </c>
      <c r="I39" s="70" t="n">
        <f aca="false">SUM(I25:I38)</f>
        <v>-85782.2411</v>
      </c>
      <c r="J39" s="70" t="n">
        <f aca="false">SUM(J25:J38)</f>
        <v>-85837.4036</v>
      </c>
      <c r="K39" s="70" t="n">
        <f aca="false">SUM(K25:K38)</f>
        <v>-78627.4995</v>
      </c>
      <c r="L39" s="70" t="n">
        <f aca="false">SUM(L25:L38)</f>
        <v>-76134.1746</v>
      </c>
      <c r="M39" s="70" t="n">
        <f aca="false">SUM(M25:M38)</f>
        <v>-79707.89</v>
      </c>
      <c r="N39" s="70" t="n">
        <f aca="false">SUM(N25:N38)</f>
        <v>-84535.7</v>
      </c>
      <c r="O39" s="70" t="n">
        <f aca="false">SUM(O25:O38)</f>
        <v>-84657.1022490514</v>
      </c>
      <c r="P39" s="70" t="n">
        <f aca="false">SUM(P25:P38)</f>
        <v>-80283.23</v>
      </c>
      <c r="Q39" s="70" t="n">
        <f aca="false">SUM(Q25:Q38)</f>
        <v>-85529.8780025</v>
      </c>
      <c r="R39" s="70" t="n">
        <f aca="false">SUM(R25:R38)</f>
        <v>-83504.8780025</v>
      </c>
      <c r="S39" s="70" t="n">
        <f aca="false">SUM(S25:S38)</f>
        <v>-85413.9383825</v>
      </c>
      <c r="T39" s="70" t="n">
        <f aca="false">SUM(T25:T38)</f>
        <v>-96335.4131825</v>
      </c>
      <c r="U39" s="70" t="n">
        <f aca="false">SUM(U25:U38)</f>
        <v>-91835.4131825</v>
      </c>
      <c r="V39" s="70" t="n">
        <f aca="false">SUM(V25:V38)</f>
        <v>-91835.4131825</v>
      </c>
      <c r="W39" s="70" t="n">
        <f aca="false">SUM(W25:W38)</f>
        <v>-91835.4131825</v>
      </c>
      <c r="X39" s="70" t="n">
        <f aca="false">SUM(X25:X38)</f>
        <v>-91835.4131825</v>
      </c>
      <c r="Y39" s="70" t="n">
        <f aca="false">SUM(Y25:Y38)</f>
        <v>-91835.4131825</v>
      </c>
      <c r="Z39" s="70" t="n">
        <f aca="false">SUM(Z25:Z38)</f>
        <v>-91835.4131825</v>
      </c>
      <c r="AA39" s="70" t="n">
        <f aca="false">SUM(AA25:AA38)</f>
        <v>-91835.4131825</v>
      </c>
      <c r="AB39" s="70" t="n">
        <f aca="false">SUM(AB25:AB38)</f>
        <v>-91835.4131825</v>
      </c>
    </row>
    <row r="40" customFormat="false" ht="15" hidden="false" customHeight="false" outlineLevel="0" collapsed="false">
      <c r="A40" s="68" t="s">
        <v>303</v>
      </c>
      <c r="B40" s="69"/>
      <c r="C40" s="70" t="n">
        <f aca="false">SUM(E40:P40)</f>
        <v>583450.501326207</v>
      </c>
      <c r="D40" s="70" t="n">
        <f aca="false">SUM(Q40:AB40)</f>
        <v>538595.24572012</v>
      </c>
      <c r="E40" s="70" t="n">
        <f aca="false">E22+E39</f>
        <v>25230.3776169281</v>
      </c>
      <c r="F40" s="70" t="n">
        <f aca="false">F22+F39</f>
        <v>-629.34830302003</v>
      </c>
      <c r="G40" s="70" t="n">
        <f aca="false">G22+G39</f>
        <v>9527.92250892488</v>
      </c>
      <c r="H40" s="70" t="n">
        <f aca="false">H22+H39</f>
        <v>30847.5426367395</v>
      </c>
      <c r="I40" s="70" t="n">
        <f aca="false">I22+I39</f>
        <v>53724.5273520973</v>
      </c>
      <c r="J40" s="70" t="n">
        <f aca="false">J22+J39</f>
        <v>67693.097803447</v>
      </c>
      <c r="K40" s="70" t="n">
        <f aca="false">K22+K39</f>
        <v>36214.5416140183</v>
      </c>
      <c r="L40" s="70" t="n">
        <f aca="false">L22+L39</f>
        <v>84497.6361785163</v>
      </c>
      <c r="M40" s="70" t="n">
        <f aca="false">M22+M39</f>
        <v>109642.316192274</v>
      </c>
      <c r="N40" s="70" t="n">
        <f aca="false">N22+N39</f>
        <v>85062.5197988111</v>
      </c>
      <c r="O40" s="70" t="n">
        <f aca="false">O22+O39</f>
        <v>58815.800830751</v>
      </c>
      <c r="P40" s="70" t="n">
        <f aca="false">P22+P39</f>
        <v>22823.5670967193</v>
      </c>
      <c r="Q40" s="70" t="n">
        <f aca="false">Q22+Q39</f>
        <v>13059.5753469975</v>
      </c>
      <c r="R40" s="70" t="n">
        <f aca="false">R22+R39</f>
        <v>41106.9244640795</v>
      </c>
      <c r="S40" s="70" t="n">
        <f aca="false">S22+S39</f>
        <v>63887.0674380079</v>
      </c>
      <c r="T40" s="70" t="n">
        <f aca="false">T22+T39</f>
        <v>66667.5120197436</v>
      </c>
      <c r="U40" s="70" t="n">
        <f aca="false">U22+U39</f>
        <v>70156.781845064</v>
      </c>
      <c r="V40" s="70" t="n">
        <f aca="false">V22+V39</f>
        <v>58483.8312361961</v>
      </c>
      <c r="W40" s="70" t="n">
        <f aca="false">W22+W39</f>
        <v>32664.0689278137</v>
      </c>
      <c r="X40" s="70" t="n">
        <f aca="false">X22+X39</f>
        <v>43498.1940097978</v>
      </c>
      <c r="Y40" s="70" t="n">
        <f aca="false">Y22+Y39</f>
        <v>32115.5791817872</v>
      </c>
      <c r="Z40" s="70" t="n">
        <f aca="false">Z22+Z39</f>
        <v>46094.2752362297</v>
      </c>
      <c r="AA40" s="70" t="n">
        <f aca="false">AA22+AA39</f>
        <v>47462.7371388382</v>
      </c>
      <c r="AB40" s="70" t="n">
        <f aca="false">AB22+AB39</f>
        <v>23398.6988755651</v>
      </c>
    </row>
    <row r="41" customFormat="false" ht="15" hidden="false" customHeight="false" outlineLevel="0" collapsed="false">
      <c r="A41" s="28" t="s">
        <v>301</v>
      </c>
      <c r="B41" s="58"/>
      <c r="C41" s="61" t="n">
        <f aca="false">IF(C16=0,0,C40/C16)</f>
        <v>0.14817128504276</v>
      </c>
      <c r="D41" s="61" t="n">
        <f aca="false">IF(D16=0,0,D40/D16)</f>
        <v>0.128567078595185</v>
      </c>
      <c r="E41" s="62" t="n">
        <f aca="false">IF(E16=0,0,E40/E16)</f>
        <v>0.0885926280802709</v>
      </c>
      <c r="F41" s="62" t="n">
        <f aca="false">IF(F16=0,0,F40/F16)</f>
        <v>-0.00238863758691124</v>
      </c>
      <c r="G41" s="62" t="n">
        <f aca="false">IF(G16=0,0,G40/G16)</f>
        <v>0.0339109738463197</v>
      </c>
      <c r="H41" s="62" t="n">
        <f aca="false">IF(H16=0,0,H40/H16)</f>
        <v>0.10096076729778</v>
      </c>
      <c r="I41" s="62" t="n">
        <f aca="false">IF(I16=0,0,I40/I16)</f>
        <v>0.166634959303995</v>
      </c>
      <c r="J41" s="62" t="n">
        <f aca="false">IF(J16=0,0,J40/J16)</f>
        <v>0.189960030233631</v>
      </c>
      <c r="K41" s="62" t="n">
        <f aca="false">IF(K16=0,0,K40/K16)</f>
        <v>0.101289635182699</v>
      </c>
      <c r="L41" s="62" t="n">
        <f aca="false">IF(L16=0,0,L40/L16)</f>
        <v>0.224065505890578</v>
      </c>
      <c r="M41" s="62" t="n">
        <f aca="false">IF(M16=0,0,M40/M16)</f>
        <v>0.286613419979527</v>
      </c>
      <c r="N41" s="62" t="n">
        <f aca="false">IF(N16=0,0,N40/N16)</f>
        <v>0.234189419560375</v>
      </c>
      <c r="O41" s="62" t="n">
        <f aca="false">IF(O16=0,0,O40/O16)</f>
        <v>0.17195274528966</v>
      </c>
      <c r="P41" s="62" t="n">
        <f aca="false">IF(P16=0,0,P40/P16)</f>
        <v>0.0756548401796556</v>
      </c>
      <c r="Q41" s="62" t="n">
        <f aca="false">IF(Q16=0,0,Q40/Q16)</f>
        <v>0.042239158882853</v>
      </c>
      <c r="R41" s="62" t="n">
        <f aca="false">IF(R16=0,0,R40/R16)</f>
        <v>0.122632538060533</v>
      </c>
      <c r="S41" s="62" t="n">
        <f aca="false">IF(S16=0,0,S40/S16)</f>
        <v>0.176447313535901</v>
      </c>
      <c r="T41" s="62" t="n">
        <f aca="false">IF(T16=0,0,T40/T16)</f>
        <v>0.177412722026975</v>
      </c>
      <c r="U41" s="62" t="n">
        <f aca="false">IF(U16=0,0,U40/U16)</f>
        <v>0.187201735859754</v>
      </c>
      <c r="V41" s="62" t="n">
        <f aca="false">IF(V16=0,0,V40/V16)</f>
        <v>0.161071346068264</v>
      </c>
      <c r="W41" s="62" t="n">
        <f aca="false">IF(W16=0,0,W40/W16)</f>
        <v>0.0924000609871769</v>
      </c>
      <c r="X41" s="62" t="n">
        <f aca="false">IF(X16=0,0,X40/X16)</f>
        <v>0.124956364444271</v>
      </c>
      <c r="Y41" s="62" t="n">
        <f aca="false">IF(Y16=0,0,Y40/Y16)</f>
        <v>0.095376437939585</v>
      </c>
      <c r="Z41" s="62" t="n">
        <f aca="false">IF(Z16=0,0,Z40/Z16)</f>
        <v>0.131433877808992</v>
      </c>
      <c r="AA41" s="62" t="n">
        <f aca="false">IF(AA16=0,0,AA40/AA16)</f>
        <v>0.134809894508286</v>
      </c>
      <c r="AB41" s="62" t="n">
        <f aca="false">IF(AB16=0,0,AB40/AB16)</f>
        <v>0.0713358489512161</v>
      </c>
    </row>
    <row r="42" customFormat="false" ht="15" hidden="false" customHeight="false" outlineLevel="0" collapsed="false">
      <c r="A42" s="22" t="s">
        <v>364</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customFormat="false" ht="15" hidden="false" customHeight="false" outlineLevel="0" collapsed="false">
      <c r="A43" s="28" t="s">
        <v>365</v>
      </c>
      <c r="B43" s="58" t="s">
        <v>75</v>
      </c>
      <c r="C43" s="59" t="n">
        <f aca="false">SUM(E43:P43)</f>
        <v>-77216.6666666667</v>
      </c>
      <c r="D43" s="59" t="n">
        <f aca="false">SUM(Q43:AB43)</f>
        <v>-97401.8888888889</v>
      </c>
      <c r="E43" s="60" t="n">
        <f aca="false">-Fixed_Assets!E26</f>
        <v>-5983.33333333333</v>
      </c>
      <c r="F43" s="60" t="n">
        <f aca="false">-Fixed_Assets!F26</f>
        <v>-6022.22222222222</v>
      </c>
      <c r="G43" s="60" t="n">
        <f aca="false">-Fixed_Assets!G26</f>
        <v>-6108.33333333333</v>
      </c>
      <c r="H43" s="60" t="n">
        <f aca="false">-Fixed_Assets!H26</f>
        <v>-6252.77777777778</v>
      </c>
      <c r="I43" s="60" t="n">
        <f aca="false">-Fixed_Assets!I26</f>
        <v>-6277.77777777778</v>
      </c>
      <c r="J43" s="60" t="n">
        <f aca="false">-Fixed_Assets!J26</f>
        <v>-6344.44444444444</v>
      </c>
      <c r="K43" s="60" t="n">
        <f aca="false">-Fixed_Assets!K26</f>
        <v>-6477.77777777778</v>
      </c>
      <c r="L43" s="60" t="n">
        <f aca="false">-Fixed_Assets!L26</f>
        <v>-6522.22222222222</v>
      </c>
      <c r="M43" s="60" t="n">
        <f aca="false">-Fixed_Assets!M26</f>
        <v>-6600</v>
      </c>
      <c r="N43" s="60" t="n">
        <f aca="false">-Fixed_Assets!N26</f>
        <v>-6750</v>
      </c>
      <c r="O43" s="60" t="n">
        <f aca="false">-Fixed_Assets!O26</f>
        <v>-6900</v>
      </c>
      <c r="P43" s="60" t="n">
        <f aca="false">-Fixed_Assets!P26</f>
        <v>-6977.77777777778</v>
      </c>
      <c r="Q43" s="60" t="n">
        <f aca="false">-Fixed_Assets!Q26</f>
        <v>-7091.55555555556</v>
      </c>
      <c r="R43" s="60" t="n">
        <f aca="false">-Fixed_Assets!R26</f>
        <v>-7172.83333333333</v>
      </c>
      <c r="S43" s="60" t="n">
        <f aca="false">-Fixed_Assets!S26</f>
        <v>-7883</v>
      </c>
      <c r="T43" s="60" t="n">
        <f aca="false">-Fixed_Assets!T26</f>
        <v>-8036.5</v>
      </c>
      <c r="U43" s="60" t="n">
        <f aca="false">-Fixed_Assets!U26</f>
        <v>-8117.77777777778</v>
      </c>
      <c r="V43" s="60" t="n">
        <f aca="false">-Fixed_Assets!V26</f>
        <v>-8199.05555555556</v>
      </c>
      <c r="W43" s="60" t="n">
        <f aca="false">-Fixed_Assets!W26</f>
        <v>-8280.33333333333</v>
      </c>
      <c r="X43" s="60" t="n">
        <f aca="false">-Fixed_Assets!X26</f>
        <v>-8361.61111111111</v>
      </c>
      <c r="Y43" s="60" t="n">
        <f aca="false">-Fixed_Assets!Y26</f>
        <v>-8442.88888888889</v>
      </c>
      <c r="Z43" s="60" t="n">
        <f aca="false">-Fixed_Assets!Z26</f>
        <v>-8524.16666666667</v>
      </c>
      <c r="AA43" s="60" t="n">
        <f aca="false">-Fixed_Assets!AA26</f>
        <v>-8605.44444444444</v>
      </c>
      <c r="AB43" s="60" t="n">
        <f aca="false">-Fixed_Assets!AB26</f>
        <v>-8686.72222222222</v>
      </c>
    </row>
    <row r="44" customFormat="false" ht="15" hidden="false" customHeight="false" outlineLevel="0" collapsed="false">
      <c r="A44" s="68" t="s">
        <v>366</v>
      </c>
      <c r="B44" s="69"/>
      <c r="C44" s="70" t="n">
        <f aca="false">SUM(E44:P44)</f>
        <v>506233.834659541</v>
      </c>
      <c r="D44" s="70" t="n">
        <f aca="false">SUM(Q44:AB44)</f>
        <v>441193.356831231</v>
      </c>
      <c r="E44" s="70" t="n">
        <f aca="false">E40+E43</f>
        <v>19247.0442835948</v>
      </c>
      <c r="F44" s="70" t="n">
        <f aca="false">F40+F43</f>
        <v>-6651.57052524225</v>
      </c>
      <c r="G44" s="70" t="n">
        <f aca="false">G40+G43</f>
        <v>3419.58917559155</v>
      </c>
      <c r="H44" s="70" t="n">
        <f aca="false">H40+H43</f>
        <v>24594.7648589618</v>
      </c>
      <c r="I44" s="70" t="n">
        <f aca="false">I40+I43</f>
        <v>47446.7495743195</v>
      </c>
      <c r="J44" s="70" t="n">
        <f aca="false">J40+J43</f>
        <v>61348.6533590025</v>
      </c>
      <c r="K44" s="70" t="n">
        <f aca="false">K40+K43</f>
        <v>29736.7638362405</v>
      </c>
      <c r="L44" s="70" t="n">
        <f aca="false">L40+L43</f>
        <v>77975.4139562941</v>
      </c>
      <c r="M44" s="70" t="n">
        <f aca="false">M40+M43</f>
        <v>103042.316192274</v>
      </c>
      <c r="N44" s="70" t="n">
        <f aca="false">N40+N43</f>
        <v>78312.5197988111</v>
      </c>
      <c r="O44" s="70" t="n">
        <f aca="false">O40+O43</f>
        <v>51915.800830751</v>
      </c>
      <c r="P44" s="70" t="n">
        <f aca="false">P40+P43</f>
        <v>15845.7893189415</v>
      </c>
      <c r="Q44" s="70" t="n">
        <f aca="false">Q40+Q43</f>
        <v>5968.0197914419</v>
      </c>
      <c r="R44" s="70" t="n">
        <f aca="false">R40+R43</f>
        <v>33934.0911307461</v>
      </c>
      <c r="S44" s="70" t="n">
        <f aca="false">S40+S43</f>
        <v>56004.0674380079</v>
      </c>
      <c r="T44" s="70" t="n">
        <f aca="false">T40+T43</f>
        <v>58631.0120197435</v>
      </c>
      <c r="U44" s="70" t="n">
        <f aca="false">U40+U43</f>
        <v>62039.0040672862</v>
      </c>
      <c r="V44" s="70" t="n">
        <f aca="false">V40+V43</f>
        <v>50284.7756806405</v>
      </c>
      <c r="W44" s="70" t="n">
        <f aca="false">W40+W43</f>
        <v>24383.7355944803</v>
      </c>
      <c r="X44" s="70" t="n">
        <f aca="false">X40+X43</f>
        <v>35136.5828986867</v>
      </c>
      <c r="Y44" s="70" t="n">
        <f aca="false">Y40+Y43</f>
        <v>23672.6902928983</v>
      </c>
      <c r="Z44" s="70" t="n">
        <f aca="false">Z40+Z43</f>
        <v>37570.108569563</v>
      </c>
      <c r="AA44" s="70" t="n">
        <f aca="false">AA40+AA43</f>
        <v>38857.2926943938</v>
      </c>
      <c r="AB44" s="70" t="n">
        <f aca="false">AB40+AB43</f>
        <v>14711.9766533429</v>
      </c>
    </row>
    <row r="45" customFormat="false" ht="15" hidden="false" customHeight="false" outlineLevel="0" collapsed="false">
      <c r="A45" s="28" t="s">
        <v>323</v>
      </c>
      <c r="B45" s="58" t="s">
        <v>61</v>
      </c>
      <c r="C45" s="59" t="n">
        <f aca="false">SUM(E45:P45)</f>
        <v>6342.8096469149</v>
      </c>
      <c r="D45" s="59" t="n">
        <f aca="false">SUM(Q45:AB45)</f>
        <v>0</v>
      </c>
      <c r="E45" s="60" t="n">
        <f aca="false">FX!E75</f>
        <v>-800.697871121738</v>
      </c>
      <c r="F45" s="60" t="n">
        <f aca="false">FX!F75</f>
        <v>-1448.57718564344</v>
      </c>
      <c r="G45" s="60" t="n">
        <f aca="false">FX!G75</f>
        <v>6340.44653692775</v>
      </c>
      <c r="H45" s="60" t="n">
        <f aca="false">FX!H75</f>
        <v>-2443.08892620365</v>
      </c>
      <c r="I45" s="60" t="n">
        <f aca="false">FX!I75</f>
        <v>794.513923252787</v>
      </c>
      <c r="J45" s="60" t="n">
        <f aca="false">FX!J75</f>
        <v>7283.56683512979</v>
      </c>
      <c r="K45" s="60" t="n">
        <f aca="false">FX!K75</f>
        <v>-524.291312138201</v>
      </c>
      <c r="L45" s="60" t="n">
        <f aca="false">FX!L75</f>
        <v>-2859.06235328839</v>
      </c>
      <c r="M45" s="60" t="n">
        <f aca="false">FX!M75</f>
        <v>0</v>
      </c>
      <c r="N45" s="60" t="n">
        <f aca="false">FX!N75</f>
        <v>0</v>
      </c>
      <c r="O45" s="60" t="n">
        <f aca="false">FX!O75</f>
        <v>0</v>
      </c>
      <c r="P45" s="60" t="n">
        <f aca="false">FX!P75</f>
        <v>0</v>
      </c>
      <c r="Q45" s="60" t="n">
        <f aca="false">FX!Q75</f>
        <v>0</v>
      </c>
      <c r="R45" s="60" t="n">
        <f aca="false">FX!R75</f>
        <v>0</v>
      </c>
      <c r="S45" s="60" t="n">
        <f aca="false">FX!S75</f>
        <v>0</v>
      </c>
      <c r="T45" s="60" t="n">
        <f aca="false">FX!T75</f>
        <v>0</v>
      </c>
      <c r="U45" s="60" t="n">
        <f aca="false">FX!U75</f>
        <v>0</v>
      </c>
      <c r="V45" s="60" t="n">
        <f aca="false">FX!V75</f>
        <v>0</v>
      </c>
      <c r="W45" s="60" t="n">
        <f aca="false">FX!W75</f>
        <v>0</v>
      </c>
      <c r="X45" s="60" t="n">
        <f aca="false">FX!X75</f>
        <v>0</v>
      </c>
      <c r="Y45" s="60" t="n">
        <f aca="false">FX!Y75</f>
        <v>0</v>
      </c>
      <c r="Z45" s="60" t="n">
        <f aca="false">FX!Z75</f>
        <v>0</v>
      </c>
      <c r="AA45" s="60" t="n">
        <f aca="false">FX!AA75</f>
        <v>0</v>
      </c>
      <c r="AB45" s="60" t="n">
        <f aca="false">FX!AB75</f>
        <v>0</v>
      </c>
    </row>
    <row r="46" customFormat="false" ht="15" hidden="false" customHeight="false" outlineLevel="0" collapsed="false">
      <c r="A46" s="28" t="s">
        <v>367</v>
      </c>
      <c r="B46" s="58" t="s">
        <v>77</v>
      </c>
      <c r="C46" s="59" t="n">
        <f aca="false">SUM(E46:P46)</f>
        <v>-5124</v>
      </c>
      <c r="D46" s="59" t="n">
        <f aca="false">SUM(Q46:AB46)</f>
        <v>-3108</v>
      </c>
      <c r="E46" s="60" t="n">
        <f aca="false">-Financing!E12</f>
        <v>-504</v>
      </c>
      <c r="F46" s="60" t="n">
        <f aca="false">-Financing!F12</f>
        <v>-490</v>
      </c>
      <c r="G46" s="60" t="n">
        <f aca="false">-Financing!G12</f>
        <v>-476</v>
      </c>
      <c r="H46" s="60" t="n">
        <f aca="false">-Financing!H12</f>
        <v>-462</v>
      </c>
      <c r="I46" s="60" t="n">
        <f aca="false">-Financing!I12</f>
        <v>-448</v>
      </c>
      <c r="J46" s="60" t="n">
        <f aca="false">-Financing!J12</f>
        <v>-434</v>
      </c>
      <c r="K46" s="60" t="n">
        <f aca="false">-Financing!K12</f>
        <v>-420</v>
      </c>
      <c r="L46" s="60" t="n">
        <f aca="false">-Financing!L12</f>
        <v>-406</v>
      </c>
      <c r="M46" s="60" t="n">
        <f aca="false">-Financing!M12</f>
        <v>-392</v>
      </c>
      <c r="N46" s="60" t="n">
        <f aca="false">-Financing!N12</f>
        <v>-378</v>
      </c>
      <c r="O46" s="60" t="n">
        <f aca="false">-Financing!O12</f>
        <v>-364</v>
      </c>
      <c r="P46" s="60" t="n">
        <f aca="false">-Financing!P12</f>
        <v>-350</v>
      </c>
      <c r="Q46" s="60" t="n">
        <f aca="false">-Financing!Q12</f>
        <v>-336</v>
      </c>
      <c r="R46" s="60" t="n">
        <f aca="false">-Financing!R12</f>
        <v>-322</v>
      </c>
      <c r="S46" s="60" t="n">
        <f aca="false">-Financing!S12</f>
        <v>-308</v>
      </c>
      <c r="T46" s="60" t="n">
        <f aca="false">-Financing!T12</f>
        <v>-294</v>
      </c>
      <c r="U46" s="60" t="n">
        <f aca="false">-Financing!U12</f>
        <v>-280</v>
      </c>
      <c r="V46" s="60" t="n">
        <f aca="false">-Financing!V12</f>
        <v>-266</v>
      </c>
      <c r="W46" s="60" t="n">
        <f aca="false">-Financing!W12</f>
        <v>-252</v>
      </c>
      <c r="X46" s="60" t="n">
        <f aca="false">-Financing!X12</f>
        <v>-238</v>
      </c>
      <c r="Y46" s="60" t="n">
        <f aca="false">-Financing!Y12</f>
        <v>-224</v>
      </c>
      <c r="Z46" s="60" t="n">
        <f aca="false">-Financing!Z12</f>
        <v>-210</v>
      </c>
      <c r="AA46" s="60" t="n">
        <f aca="false">-Financing!AA12</f>
        <v>-196</v>
      </c>
      <c r="AB46" s="60" t="n">
        <f aca="false">-Financing!AB12</f>
        <v>-182</v>
      </c>
    </row>
    <row r="47" customFormat="false" ht="15" hidden="false" customHeight="false" outlineLevel="0" collapsed="false">
      <c r="A47" s="68" t="s">
        <v>368</v>
      </c>
      <c r="B47" s="69"/>
      <c r="C47" s="70" t="n">
        <f aca="false">SUM(E47:P47)</f>
        <v>507452.644306456</v>
      </c>
      <c r="D47" s="70" t="n">
        <f aca="false">SUM(Q47:AB47)</f>
        <v>438085.356831231</v>
      </c>
      <c r="E47" s="70" t="n">
        <f aca="false">E44+E45+E46</f>
        <v>17942.3464124731</v>
      </c>
      <c r="F47" s="70" t="n">
        <f aca="false">F44+F45+F46</f>
        <v>-8590.1477108857</v>
      </c>
      <c r="G47" s="70" t="n">
        <f aca="false">G44+G45+G46</f>
        <v>9284.03571251929</v>
      </c>
      <c r="H47" s="70" t="n">
        <f aca="false">H44+H45+H46</f>
        <v>21689.6759327581</v>
      </c>
      <c r="I47" s="70" t="n">
        <f aca="false">I44+I45+I46</f>
        <v>47793.2634975723</v>
      </c>
      <c r="J47" s="70" t="n">
        <f aca="false">J44+J45+J46</f>
        <v>68198.2201941323</v>
      </c>
      <c r="K47" s="70" t="n">
        <f aca="false">K44+K45+K46</f>
        <v>28792.4725241023</v>
      </c>
      <c r="L47" s="70" t="n">
        <f aca="false">L44+L45+L46</f>
        <v>74710.3516030057</v>
      </c>
      <c r="M47" s="70" t="n">
        <f aca="false">M44+M45+M46</f>
        <v>102650.316192274</v>
      </c>
      <c r="N47" s="70" t="n">
        <f aca="false">N44+N45+N46</f>
        <v>77934.5197988111</v>
      </c>
      <c r="O47" s="70" t="n">
        <f aca="false">O44+O45+O46</f>
        <v>51551.800830751</v>
      </c>
      <c r="P47" s="70" t="n">
        <f aca="false">P44+P45+P46</f>
        <v>15495.7893189415</v>
      </c>
      <c r="Q47" s="70" t="n">
        <f aca="false">Q44+Q45+Q46</f>
        <v>5632.0197914419</v>
      </c>
      <c r="R47" s="70" t="n">
        <f aca="false">R44+R45+R46</f>
        <v>33612.0911307461</v>
      </c>
      <c r="S47" s="70" t="n">
        <f aca="false">S44+S45+S46</f>
        <v>55696.0674380079</v>
      </c>
      <c r="T47" s="70" t="n">
        <f aca="false">T44+T45+T46</f>
        <v>58337.0120197435</v>
      </c>
      <c r="U47" s="70" t="n">
        <f aca="false">U44+U45+U46</f>
        <v>61759.0040672862</v>
      </c>
      <c r="V47" s="70" t="n">
        <f aca="false">V44+V45+V46</f>
        <v>50018.7756806405</v>
      </c>
      <c r="W47" s="70" t="n">
        <f aca="false">W44+W45+W46</f>
        <v>24131.7355944803</v>
      </c>
      <c r="X47" s="70" t="n">
        <f aca="false">X44+X45+X46</f>
        <v>34898.5828986867</v>
      </c>
      <c r="Y47" s="70" t="n">
        <f aca="false">Y44+Y45+Y46</f>
        <v>23448.6902928983</v>
      </c>
      <c r="Z47" s="70" t="n">
        <f aca="false">Z44+Z45+Z46</f>
        <v>37360.108569563</v>
      </c>
      <c r="AA47" s="70" t="n">
        <f aca="false">AA44+AA45+AA46</f>
        <v>38661.2926943938</v>
      </c>
      <c r="AB47" s="70" t="n">
        <f aca="false">AB44+AB45+AB46</f>
        <v>14529.9766533429</v>
      </c>
    </row>
    <row r="48" customFormat="false" ht="15" hidden="false" customHeight="false" outlineLevel="0" collapsed="false">
      <c r="A48" s="28" t="s">
        <v>369</v>
      </c>
      <c r="B48" s="58" t="s">
        <v>77</v>
      </c>
      <c r="C48" s="59" t="n">
        <f aca="false">SUM(E48:P48)</f>
        <v>-78974.36</v>
      </c>
      <c r="D48" s="59" t="n">
        <f aca="false">SUM(Q48:AB48)</f>
        <v>-60426.4247098848</v>
      </c>
      <c r="E48" s="60" t="n">
        <f aca="false">-Financing!E17</f>
        <v>-0</v>
      </c>
      <c r="F48" s="60" t="n">
        <f aca="false">-Financing!F17</f>
        <v>-0</v>
      </c>
      <c r="G48" s="60" t="n">
        <f aca="false">-Financing!G17</f>
        <v>-0</v>
      </c>
      <c r="H48" s="60" t="n">
        <f aca="false">-Financing!H17</f>
        <v>-0</v>
      </c>
      <c r="I48" s="60" t="n">
        <f aca="false">-Financing!I17</f>
        <v>-0</v>
      </c>
      <c r="J48" s="60" t="n">
        <f aca="false">-Financing!J17</f>
        <v>-78974.36</v>
      </c>
      <c r="K48" s="60" t="n">
        <f aca="false">-Financing!K17</f>
        <v>-0</v>
      </c>
      <c r="L48" s="60" t="n">
        <f aca="false">-Financing!L17</f>
        <v>-0</v>
      </c>
      <c r="M48" s="60" t="n">
        <f aca="false">-Financing!M17</f>
        <v>-0</v>
      </c>
      <c r="N48" s="60" t="n">
        <f aca="false">-Financing!N17</f>
        <v>-0</v>
      </c>
      <c r="O48" s="60" t="n">
        <f aca="false">-Financing!O17</f>
        <v>-0</v>
      </c>
      <c r="P48" s="60" t="n">
        <f aca="false">-Financing!P17</f>
        <v>-0</v>
      </c>
      <c r="Q48" s="60" t="n">
        <f aca="false">-Financing!Q17</f>
        <v>-0</v>
      </c>
      <c r="R48" s="60" t="n">
        <f aca="false">-Financing!R17</f>
        <v>-0</v>
      </c>
      <c r="S48" s="60" t="n">
        <f aca="false">-Financing!S17</f>
        <v>-0</v>
      </c>
      <c r="T48" s="60" t="n">
        <f aca="false">-Financing!T17</f>
        <v>-0</v>
      </c>
      <c r="U48" s="60" t="n">
        <f aca="false">-Financing!U17</f>
        <v>-0</v>
      </c>
      <c r="V48" s="60" t="n">
        <f aca="false">-Financing!V17</f>
        <v>-60426.4247098848</v>
      </c>
      <c r="W48" s="60" t="n">
        <f aca="false">-Financing!W17</f>
        <v>-0</v>
      </c>
      <c r="X48" s="60" t="n">
        <f aca="false">-Financing!X17</f>
        <v>-0</v>
      </c>
      <c r="Y48" s="60" t="n">
        <f aca="false">-Financing!Y17</f>
        <v>-0</v>
      </c>
      <c r="Z48" s="60" t="n">
        <f aca="false">-Financing!Z17</f>
        <v>-0</v>
      </c>
      <c r="AA48" s="60" t="n">
        <f aca="false">-Financing!AA17</f>
        <v>-0</v>
      </c>
      <c r="AB48" s="60" t="n">
        <f aca="false">-Financing!AB17</f>
        <v>-0</v>
      </c>
    </row>
    <row r="49" customFormat="false" ht="15" hidden="false" customHeight="false" outlineLevel="0" collapsed="false">
      <c r="A49" s="68" t="s">
        <v>370</v>
      </c>
      <c r="B49" s="69"/>
      <c r="C49" s="70" t="n">
        <f aca="false">SUM(E49:P49)</f>
        <v>428478.284306456</v>
      </c>
      <c r="D49" s="70" t="n">
        <f aca="false">SUM(Q49:AB49)</f>
        <v>377658.932121347</v>
      </c>
      <c r="E49" s="70" t="n">
        <f aca="false">E47+E48</f>
        <v>17942.3464124731</v>
      </c>
      <c r="F49" s="70" t="n">
        <f aca="false">F47+F48</f>
        <v>-8590.1477108857</v>
      </c>
      <c r="G49" s="70" t="n">
        <f aca="false">G47+G48</f>
        <v>9284.03571251929</v>
      </c>
      <c r="H49" s="70" t="n">
        <f aca="false">H47+H48</f>
        <v>21689.6759327581</v>
      </c>
      <c r="I49" s="70" t="n">
        <f aca="false">I47+I48</f>
        <v>47793.2634975723</v>
      </c>
      <c r="J49" s="70" t="n">
        <f aca="false">J47+J48</f>
        <v>-10776.1398058677</v>
      </c>
      <c r="K49" s="70" t="n">
        <f aca="false">K47+K48</f>
        <v>28792.4725241023</v>
      </c>
      <c r="L49" s="70" t="n">
        <f aca="false">L47+L48</f>
        <v>74710.3516030057</v>
      </c>
      <c r="M49" s="70" t="n">
        <f aca="false">M47+M48</f>
        <v>102650.316192274</v>
      </c>
      <c r="N49" s="70" t="n">
        <f aca="false">N47+N48</f>
        <v>77934.5197988111</v>
      </c>
      <c r="O49" s="70" t="n">
        <f aca="false">O47+O48</f>
        <v>51551.800830751</v>
      </c>
      <c r="P49" s="70" t="n">
        <f aca="false">P47+P48</f>
        <v>15495.7893189415</v>
      </c>
      <c r="Q49" s="70" t="n">
        <f aca="false">Q47+Q48</f>
        <v>5632.0197914419</v>
      </c>
      <c r="R49" s="70" t="n">
        <f aca="false">R47+R48</f>
        <v>33612.0911307461</v>
      </c>
      <c r="S49" s="70" t="n">
        <f aca="false">S47+S48</f>
        <v>55696.0674380079</v>
      </c>
      <c r="T49" s="70" t="n">
        <f aca="false">T47+T48</f>
        <v>58337.0120197435</v>
      </c>
      <c r="U49" s="70" t="n">
        <f aca="false">U47+U48</f>
        <v>61759.0040672862</v>
      </c>
      <c r="V49" s="70" t="n">
        <f aca="false">V47+V48</f>
        <v>-10407.6490292442</v>
      </c>
      <c r="W49" s="70" t="n">
        <f aca="false">W47+W48</f>
        <v>24131.7355944803</v>
      </c>
      <c r="X49" s="70" t="n">
        <f aca="false">X47+X48</f>
        <v>34898.5828986867</v>
      </c>
      <c r="Y49" s="70" t="n">
        <f aca="false">Y47+Y48</f>
        <v>23448.6902928983</v>
      </c>
      <c r="Z49" s="70" t="n">
        <f aca="false">Z47+Z48</f>
        <v>37360.108569563</v>
      </c>
      <c r="AA49" s="70" t="n">
        <f aca="false">AA47+AA48</f>
        <v>38661.2926943938</v>
      </c>
      <c r="AB49" s="70" t="n">
        <f aca="false">AB47+AB48</f>
        <v>14529.9766533429</v>
      </c>
    </row>
    <row r="50" customFormat="false" ht="15" hidden="false" customHeight="false" outlineLevel="0" collapsed="false">
      <c r="A50" s="28" t="s">
        <v>371</v>
      </c>
      <c r="B50" s="58"/>
      <c r="C50" s="61" t="n">
        <f aca="false">IF(C16=0,0,C49/C16)</f>
        <v>0.108815020047619</v>
      </c>
      <c r="D50" s="61" t="n">
        <f aca="false">IF(D16=0,0,D49/D16)</f>
        <v>0.0901502677456791</v>
      </c>
      <c r="E50" s="62" t="n">
        <f aca="false">IF(E16=0,0,E49/E16)</f>
        <v>0.0630018165697649</v>
      </c>
      <c r="F50" s="62" t="n">
        <f aca="false">IF(F16=0,0,F49/F16)</f>
        <v>-0.0326031699789744</v>
      </c>
      <c r="G50" s="62" t="n">
        <f aca="false">IF(G16=0,0,G49/G16)</f>
        <v>0.0330429526416315</v>
      </c>
      <c r="H50" s="62" t="n">
        <f aca="false">IF(H16=0,0,H49/H16)</f>
        <v>0.0709880313773647</v>
      </c>
      <c r="I50" s="62" t="n">
        <f aca="false">IF(I16=0,0,I49/I16)</f>
        <v>0.148238223962936</v>
      </c>
      <c r="J50" s="62" t="n">
        <f aca="false">IF(J16=0,0,J49/J16)</f>
        <v>-0.0302399492673272</v>
      </c>
      <c r="K50" s="62" t="n">
        <f aca="false">IF(K16=0,0,K49/K16)</f>
        <v>0.0805306075404057</v>
      </c>
      <c r="L50" s="62" t="n">
        <f aca="false">IF(L16=0,0,L49/L16)</f>
        <v>0.198112201527439</v>
      </c>
      <c r="M50" s="62" t="n">
        <f aca="false">IF(M16=0,0,M49/M16)</f>
        <v>0.2683357959554</v>
      </c>
      <c r="N50" s="62" t="n">
        <f aca="false">IF(N16=0,0,N49/N16)</f>
        <v>0.214565004640919</v>
      </c>
      <c r="O50" s="62" t="n">
        <f aca="false">IF(O16=0,0,O49/O16)</f>
        <v>0.150715854451798</v>
      </c>
      <c r="P50" s="62" t="n">
        <f aca="false">IF(P16=0,0,P49/P16)</f>
        <v>0.051364953576895</v>
      </c>
      <c r="Q50" s="62" t="n">
        <f aca="false">IF(Q16=0,0,Q49/Q16)</f>
        <v>0.0182158892981755</v>
      </c>
      <c r="R50" s="62" t="n">
        <f aca="false">IF(R16=0,0,R49/R16)</f>
        <v>0.100273520790571</v>
      </c>
      <c r="S50" s="62" t="n">
        <f aca="false">IF(S16=0,0,S49/S16)</f>
        <v>0.153824895523446</v>
      </c>
      <c r="T50" s="62" t="n">
        <f aca="false">IF(T16=0,0,T49/T16)</f>
        <v>0.155243952920847</v>
      </c>
      <c r="U50" s="62" t="n">
        <f aca="false">IF(U16=0,0,U49/U16)</f>
        <v>0.164793658749885</v>
      </c>
      <c r="V50" s="62" t="n">
        <f aca="false">IF(V16=0,0,V49/V16)</f>
        <v>-0.0286638888580355</v>
      </c>
      <c r="W50" s="62" t="n">
        <f aca="false">IF(W16=0,0,W49/W16)</f>
        <v>0.0682638113942303</v>
      </c>
      <c r="X50" s="62" t="n">
        <f aca="false">IF(X16=0,0,X49/X16)</f>
        <v>0.10025243903907</v>
      </c>
      <c r="Y50" s="62" t="n">
        <f aca="false">IF(Y16=0,0,Y49/Y16)</f>
        <v>0.0696376217232745</v>
      </c>
      <c r="Z50" s="62" t="n">
        <f aca="false">IF(Z16=0,0,Z49/Z16)</f>
        <v>0.106529149650304</v>
      </c>
      <c r="AA50" s="62" t="n">
        <f aca="false">IF(AA16=0,0,AA49/AA16)</f>
        <v>0.109810876992603</v>
      </c>
      <c r="AB50" s="62" t="n">
        <f aca="false">IF(AB16=0,0,AB49/AB16)</f>
        <v>0.0442976861798916</v>
      </c>
    </row>
    <row r="51" customFormat="false" ht="15" hidden="false" customHeight="false" outlineLevel="0" collapsed="false">
      <c r="A51" s="22" t="s">
        <v>372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customFormat="false" ht="15" hidden="false" customHeight="false" outlineLevel="0" collapsed="false">
      <c r="A52" s="28" t="s">
        <v>373</v>
      </c>
      <c r="B52" s="58" t="s">
        <v>61</v>
      </c>
      <c r="C52" s="59" t="n">
        <f aca="false">SUM(E52:P52)</f>
        <v>6825061.96674539</v>
      </c>
      <c r="D52" s="59" t="n">
        <f aca="false">SUM(Q52:AB52)</f>
        <v>6811302.8683222</v>
      </c>
      <c r="E52" s="60" t="n">
        <f aca="false">FX!E76</f>
        <v>482249.741801521</v>
      </c>
      <c r="F52" s="60" t="n">
        <f aca="false">FX!F76</f>
        <v>458766.418174928</v>
      </c>
      <c r="G52" s="60" t="n">
        <f aca="false">FX!G76</f>
        <v>500028.210550656</v>
      </c>
      <c r="H52" s="60" t="n">
        <f aca="false">FX!H76</f>
        <v>546540.78873093</v>
      </c>
      <c r="I52" s="60" t="n">
        <f aca="false">FX!I76</f>
        <v>557316.294945783</v>
      </c>
      <c r="J52" s="60" t="n">
        <f aca="false">FX!J76</f>
        <v>579747.278093447</v>
      </c>
      <c r="K52" s="60" t="n">
        <f aca="false">FX!K76</f>
        <v>576496.790578174</v>
      </c>
      <c r="L52" s="60" t="n">
        <f aca="false">FX!L76</f>
        <v>612918.440112301</v>
      </c>
      <c r="M52" s="60" t="n">
        <f aca="false">FX!M76</f>
        <v>623083.270922469</v>
      </c>
      <c r="N52" s="60" t="n">
        <f aca="false">FX!N76</f>
        <v>632301.302365401</v>
      </c>
      <c r="O52" s="60" t="n">
        <f aca="false">FX!O76</f>
        <v>668650.576633748</v>
      </c>
      <c r="P52" s="60" t="n">
        <f aca="false">FX!P76</f>
        <v>586962.853836029</v>
      </c>
      <c r="Q52" s="60" t="n">
        <f aca="false">FX!Q76</f>
        <v>507001.612089842</v>
      </c>
      <c r="R52" s="60" t="n">
        <f aca="false">FX!R76</f>
        <v>533023.961206924</v>
      </c>
      <c r="S52" s="60" t="n">
        <f aca="false">FX!S76</f>
        <v>578892.301889128</v>
      </c>
      <c r="T52" s="60" t="n">
        <f aca="false">FX!T76</f>
        <v>597584.053405691</v>
      </c>
      <c r="U52" s="60" t="n">
        <f aca="false">FX!U76</f>
        <v>596573.323231012</v>
      </c>
      <c r="V52" s="60" t="n">
        <f aca="false">FX!V76</f>
        <v>573809.989394471</v>
      </c>
      <c r="W52" s="60" t="n">
        <f aca="false">FX!W76</f>
        <v>535446.418573035</v>
      </c>
      <c r="X52" s="60" t="n">
        <f aca="false">FX!X76</f>
        <v>540748.801641332</v>
      </c>
      <c r="Y52" s="60" t="n">
        <f aca="false">FX!Y76</f>
        <v>550770.82356877</v>
      </c>
      <c r="Z52" s="60" t="n">
        <f aca="false">FX!Z76</f>
        <v>581754.15637866</v>
      </c>
      <c r="AA52" s="60" t="n">
        <f aca="false">FX!AA76</f>
        <v>635634.21016989</v>
      </c>
      <c r="AB52" s="60" t="n">
        <f aca="false">FX!AB76</f>
        <v>580063.216773444</v>
      </c>
    </row>
    <row r="53" customFormat="false" ht="15" hidden="false" customHeight="false" outlineLevel="0" collapsed="false">
      <c r="A53" s="28" t="s">
        <v>374</v>
      </c>
      <c r="B53" s="58"/>
      <c r="C53" s="61" t="n">
        <f aca="false">IF(C16=0,0,-(C19+C20+C25+C26)/C16)</f>
        <v>0.735188206332288</v>
      </c>
      <c r="D53" s="61" t="n">
        <f aca="false">IF(D16=0,0,-(D19+D20+D25+D26)/D16)</f>
        <v>0.762197442869615</v>
      </c>
      <c r="E53" s="62" t="n">
        <f aca="false">IF(E16=0,0,-(E19+E20+E25+E26)/E16)</f>
        <v>0.795726022380741</v>
      </c>
      <c r="F53" s="62" t="n">
        <f aca="false">IF(F16=0,0,-(F19+F20+F25+F26)/F16)</f>
        <v>0.859529241065304</v>
      </c>
      <c r="G53" s="62" t="n">
        <f aca="false">IF(G16=0,0,-(G19+G20+G25+G26)/G16)</f>
        <v>0.812748106784711</v>
      </c>
      <c r="H53" s="62" t="n">
        <f aca="false">IF(H16=0,0,-(H19+H20+H25+H26)/H16)</f>
        <v>0.7749474197117</v>
      </c>
      <c r="I53" s="62" t="n">
        <f aca="false">IF(I16=0,0,-(I19+I20+I25+I26)/I16)</f>
        <v>0.700372269289934</v>
      </c>
      <c r="J53" s="62" t="n">
        <f aca="false">IF(J16=0,0,-(J19+J20+J25+J26)/J16)</f>
        <v>0.690241682676006</v>
      </c>
      <c r="K53" s="62" t="n">
        <f aca="false">IF(K16=0,0,-(K19+K20+K25+K26)/K16)</f>
        <v>0.800017798026032</v>
      </c>
      <c r="L53" s="62" t="n">
        <f aca="false">IF(L16=0,0,-(L19+L20+L25+L26)/L16)</f>
        <v>0.689540903565748</v>
      </c>
      <c r="M53" s="62" t="n">
        <f aca="false">IF(M16=0,0,-(M19+M20+M25+M26)/M16)</f>
        <v>0.618364893338977</v>
      </c>
      <c r="N53" s="62" t="n">
        <f aca="false">IF(N16=0,0,-(N19+N20+N25+N26)/N16)</f>
        <v>0.653344622322369</v>
      </c>
      <c r="O53" s="62" t="n">
        <f aca="false">IF(O16=0,0,-(O19+O20+O25+O26)/O16)</f>
        <v>0.708987724224638</v>
      </c>
      <c r="P53" s="62" t="n">
        <f aca="false">IF(P16=0,0,-(P19+P20+P25+P26)/P16)</f>
        <v>0.803853326581631</v>
      </c>
      <c r="Q53" s="62" t="n">
        <f aca="false">IF(Q16=0,0,-(Q19+Q20+Q25+Q26)/Q16)</f>
        <v>0.830115838841135</v>
      </c>
      <c r="R53" s="62" t="n">
        <f aca="false">IF(R16=0,0,-(R19+R20+R25+R26)/R16)</f>
        <v>0.765672811923324</v>
      </c>
      <c r="S53" s="62" t="n">
        <f aca="false">IF(S16=0,0,-(S19+S20+S25+S26)/S16)</f>
        <v>0.715175810134252</v>
      </c>
      <c r="T53" s="62" t="n">
        <f aca="false">IF(T16=0,0,-(T19+T20+T25+T26)/T16)</f>
        <v>0.710977019201575</v>
      </c>
      <c r="U53" s="62" t="n">
        <f aca="false">IF(U16=0,0,-(U19+U20+U25+U26)/U16)</f>
        <v>0.71289449992632</v>
      </c>
      <c r="V53" s="62" t="n">
        <f aca="false">IF(V16=0,0,-(V19+V20+V25+V26)/V16)</f>
        <v>0.735813115756521</v>
      </c>
      <c r="W53" s="62" t="n">
        <f aca="false">IF(W16=0,0,-(W19+W20+W25+W26)/W16)</f>
        <v>0.801688318172328</v>
      </c>
      <c r="X53" s="62" t="n">
        <f aca="false">IF(X16=0,0,-(X19+X20+X25+X26)/X16)</f>
        <v>0.767489083706475</v>
      </c>
      <c r="Y53" s="62" t="n">
        <f aca="false">IF(Y16=0,0,-(Y19+Y20+Y25+Y26)/Y16)</f>
        <v>0.793433242108093</v>
      </c>
      <c r="Z53" s="62" t="n">
        <f aca="false">IF(Z16=0,0,-(Z19+Z20+Z25+Z26)/Z16)</f>
        <v>0.761807743262431</v>
      </c>
      <c r="AA53" s="62" t="n">
        <f aca="false">IF(AA16=0,0,-(AA19+AA20+AA25+AA26)/AA16)</f>
        <v>0.758846684113107</v>
      </c>
      <c r="AB53" s="62" t="n">
        <f aca="false">IF(AB16=0,0,-(AB19+AB20+AB25+AB26)/AB16)</f>
        <v>0.814518921569929</v>
      </c>
    </row>
    <row r="54" customFormat="false" ht="15" hidden="false" customHeight="false" outlineLevel="0" collapsed="false">
      <c r="A54" s="25" t="s">
        <v>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376</v>
      </c>
    </row>
    <row r="3" customFormat="false" ht="15" hidden="false" customHeight="false" outlineLevel="0" collapsed="false">
      <c r="A3" s="49" t="s">
        <v>377</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378</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325</v>
      </c>
      <c r="B9" s="58" t="s">
        <v>35</v>
      </c>
      <c r="C9" s="59" t="n">
        <f aca="false">P9</f>
        <v>612534.28302922</v>
      </c>
      <c r="D9" s="59" t="n">
        <f aca="false">AB9</f>
        <v>803759.860565172</v>
      </c>
      <c r="E9" s="60" t="n">
        <f aca="false">CF!E38</f>
        <v>492554.930452003</v>
      </c>
      <c r="F9" s="60" t="n">
        <f aca="false">CF!F38</f>
        <v>675877.630201207</v>
      </c>
      <c r="G9" s="60" t="n">
        <f aca="false">CF!G38</f>
        <v>579312.207110502</v>
      </c>
      <c r="H9" s="60" t="n">
        <f aca="false">CF!H38</f>
        <v>520521.050925958</v>
      </c>
      <c r="I9" s="60" t="n">
        <f aca="false">CF!I38</f>
        <v>600557.830127967</v>
      </c>
      <c r="J9" s="60" t="n">
        <f aca="false">CF!J38</f>
        <v>272487.475298423</v>
      </c>
      <c r="K9" s="60" t="n">
        <f aca="false">CF!K38</f>
        <v>278163.984952918</v>
      </c>
      <c r="L9" s="60" t="n">
        <f aca="false">CF!L38</f>
        <v>367888.049343681</v>
      </c>
      <c r="M9" s="60" t="n">
        <f aca="false">CF!M38</f>
        <v>339326.23945676</v>
      </c>
      <c r="N9" s="60" t="n">
        <f aca="false">CF!N38</f>
        <v>420682.10876628</v>
      </c>
      <c r="O9" s="60" t="n">
        <f aca="false">CF!O38</f>
        <v>567960.487507797</v>
      </c>
      <c r="P9" s="60" t="n">
        <f aca="false">CF!P38</f>
        <v>612534.28302922</v>
      </c>
      <c r="Q9" s="60" t="n">
        <f aca="false">CF!Q38</f>
        <v>640194.160743273</v>
      </c>
      <c r="R9" s="60" t="n">
        <f aca="false">CF!R38</f>
        <v>794311.648770999</v>
      </c>
      <c r="S9" s="60" t="n">
        <f aca="false">CF!S38</f>
        <v>644595.941040873</v>
      </c>
      <c r="T9" s="60" t="n">
        <f aca="false">CF!T38</f>
        <v>637777.3005996</v>
      </c>
      <c r="U9" s="60" t="n">
        <f aca="false">CF!U38</f>
        <v>748210.612073758</v>
      </c>
      <c r="V9" s="60" t="n">
        <f aca="false">CF!V38</f>
        <v>566846.179586067</v>
      </c>
      <c r="W9" s="60" t="n">
        <f aca="false">CF!W38</f>
        <v>562787.447927986</v>
      </c>
      <c r="X9" s="60" t="n">
        <f aca="false">CF!X38</f>
        <v>664145.73036141</v>
      </c>
      <c r="Y9" s="60" t="n">
        <f aca="false">CF!Y38</f>
        <v>682973.572795325</v>
      </c>
      <c r="Z9" s="60" t="n">
        <f aca="false">CF!Z38</f>
        <v>712826.722637955</v>
      </c>
      <c r="AA9" s="60" t="n">
        <f aca="false">CF!AA38</f>
        <v>810264.260740604</v>
      </c>
      <c r="AB9" s="60" t="n">
        <f aca="false">CF!AB38</f>
        <v>803759.860565172</v>
      </c>
    </row>
    <row r="10" customFormat="false" ht="15" hidden="false" customHeight="false" outlineLevel="0" collapsed="false">
      <c r="A10" s="28" t="s">
        <v>379</v>
      </c>
      <c r="B10" s="58" t="s">
        <v>63</v>
      </c>
      <c r="C10" s="59" t="n">
        <f aca="false">P10</f>
        <v>746044.201855481</v>
      </c>
      <c r="D10" s="59" t="n">
        <f aca="false">AB10</f>
        <v>712579.461517762</v>
      </c>
      <c r="E10" s="60" t="n">
        <f aca="false">Receivables!E17</f>
        <v>698829.936501559</v>
      </c>
      <c r="F10" s="60" t="n">
        <f aca="false">Receivables!F17</f>
        <v>520386.602036567</v>
      </c>
      <c r="G10" s="60" t="n">
        <f aca="false">Receivables!G17</f>
        <v>580461.475679056</v>
      </c>
      <c r="H10" s="60" t="n">
        <f aca="false">Receivables!H17</f>
        <v>694432.631999395</v>
      </c>
      <c r="I10" s="60" t="n">
        <f aca="false">Receivables!I17</f>
        <v>601638.54274672</v>
      </c>
      <c r="J10" s="60" t="n">
        <f aca="false">Receivables!J17</f>
        <v>725543.805194138</v>
      </c>
      <c r="K10" s="60" t="n">
        <f aca="false">Receivables!K17</f>
        <v>696742.661471203</v>
      </c>
      <c r="L10" s="60" t="n">
        <f aca="false">Receivables!L17</f>
        <v>599808.501254837</v>
      </c>
      <c r="M10" s="60" t="n">
        <f aca="false">Receivables!M17</f>
        <v>740559.197338345</v>
      </c>
      <c r="N10" s="60" t="n">
        <f aca="false">Receivables!N17</f>
        <v>842156.379453653</v>
      </c>
      <c r="O10" s="60" t="n">
        <f aca="false">Receivables!O17</f>
        <v>826109.183863469</v>
      </c>
      <c r="P10" s="60" t="n">
        <f aca="false">Receivables!P17</f>
        <v>746044.201855481</v>
      </c>
      <c r="Q10" s="60" t="n">
        <f aca="false">Receivables!Q17</f>
        <v>739282.833832739</v>
      </c>
      <c r="R10" s="60" t="n">
        <f aca="false">Receivables!R17</f>
        <v>588010.830574087</v>
      </c>
      <c r="S10" s="60" t="n">
        <f aca="false">Receivables!S17</f>
        <v>673746.030957654</v>
      </c>
      <c r="T10" s="60" t="n">
        <f aca="false">Receivables!T17</f>
        <v>749387.019036319</v>
      </c>
      <c r="U10" s="60" t="n">
        <f aca="false">Receivables!U17</f>
        <v>688652.420755715</v>
      </c>
      <c r="V10" s="60" t="n">
        <f aca="false">Receivables!V17</f>
        <v>686019.766109174</v>
      </c>
      <c r="W10" s="60" t="n">
        <f aca="false">Receivables!W17</f>
        <v>688647.927723385</v>
      </c>
      <c r="X10" s="60" t="n">
        <f aca="false">Receivables!X17</f>
        <v>622812.27908262</v>
      </c>
      <c r="Y10" s="60" t="n">
        <f aca="false">Receivables!Y17</f>
        <v>646595.251030203</v>
      </c>
      <c r="Z10" s="60" t="n">
        <f aca="false">Receivables!Z17</f>
        <v>737302.0185679</v>
      </c>
      <c r="AA10" s="60" t="n">
        <f aca="false">Receivables!AA17</f>
        <v>709504.938389329</v>
      </c>
      <c r="AB10" s="60" t="n">
        <f aca="false">Receivables!AB17</f>
        <v>712579.461517762</v>
      </c>
    </row>
    <row r="11" customFormat="false" ht="15" hidden="false" customHeight="false" outlineLevel="0" collapsed="false">
      <c r="A11" s="28" t="s">
        <v>380</v>
      </c>
      <c r="B11" s="58" t="s">
        <v>61</v>
      </c>
      <c r="C11" s="59" t="n">
        <f aca="false">P11</f>
        <v>44314.0471683307</v>
      </c>
      <c r="D11" s="59" t="n">
        <f aca="false">AB11</f>
        <v>38761.109055064</v>
      </c>
      <c r="E11" s="60" t="n">
        <f aca="false">FX!E73</f>
        <v>56471.5504363888</v>
      </c>
      <c r="F11" s="60" t="n">
        <f aca="false">FX!F73</f>
        <v>71124.6722720529</v>
      </c>
      <c r="G11" s="60" t="n">
        <f aca="false">FX!G73</f>
        <v>75450.8687273272</v>
      </c>
      <c r="H11" s="60" t="n">
        <f aca="false">FX!H73</f>
        <v>36916.5417460318</v>
      </c>
      <c r="I11" s="60" t="n">
        <f aca="false">FX!I73</f>
        <v>66622.8947716695</v>
      </c>
      <c r="J11" s="60" t="n">
        <f aca="false">FX!J73</f>
        <v>38781.8119406345</v>
      </c>
      <c r="K11" s="60" t="n">
        <f aca="false">FX!K73</f>
        <v>79499.3444115147</v>
      </c>
      <c r="L11" s="60" t="n">
        <f aca="false">FX!L73</f>
        <v>137974.464873232</v>
      </c>
      <c r="M11" s="60" t="n">
        <f aca="false">FX!M73</f>
        <v>116118.753141561</v>
      </c>
      <c r="N11" s="60" t="n">
        <f aca="false">FX!N73</f>
        <v>104947.879250426</v>
      </c>
      <c r="O11" s="60" t="n">
        <f aca="false">FX!O73</f>
        <v>71110.9435888876</v>
      </c>
      <c r="P11" s="60" t="n">
        <f aca="false">FX!P73</f>
        <v>44314.0471683307</v>
      </c>
      <c r="Q11" s="60" t="n">
        <f aca="false">FX!Q73</f>
        <v>62090.3906459996</v>
      </c>
      <c r="R11" s="60" t="n">
        <f aca="false">FX!R73</f>
        <v>59804.9207190329</v>
      </c>
      <c r="S11" s="60" t="n">
        <f aca="false">FX!S73</f>
        <v>65785.2863519704</v>
      </c>
      <c r="T11" s="60" t="n">
        <f aca="false">FX!T73</f>
        <v>58146.8460195229</v>
      </c>
      <c r="U11" s="60" t="n">
        <f aca="false">FX!U73</f>
        <v>65965.1012972098</v>
      </c>
      <c r="V11" s="60" t="n">
        <f aca="false">FX!V73</f>
        <v>56817.7897433761</v>
      </c>
      <c r="W11" s="60" t="n">
        <f aca="false">FX!W73</f>
        <v>71699.238057606</v>
      </c>
      <c r="X11" s="60" t="n">
        <f aca="false">FX!X73</f>
        <v>53817.1051761368</v>
      </c>
      <c r="Y11" s="60" t="n">
        <f aca="false">FX!Y73</f>
        <v>50198.8133663943</v>
      </c>
      <c r="Z11" s="60" t="n">
        <f aca="false">FX!Z73</f>
        <v>52105.0974182827</v>
      </c>
      <c r="AA11" s="60" t="n">
        <f aca="false">FX!AA73</f>
        <v>58900.5293145059</v>
      </c>
      <c r="AB11" s="60" t="n">
        <f aca="false">FX!AB73</f>
        <v>38761.109055064</v>
      </c>
    </row>
    <row r="12" customFormat="false" ht="15" hidden="false" customHeight="false" outlineLevel="0" collapsed="false">
      <c r="A12" s="28" t="s">
        <v>381</v>
      </c>
      <c r="B12" s="58" t="s">
        <v>382</v>
      </c>
      <c r="C12" s="59" t="n">
        <f aca="false">P12</f>
        <v>38000</v>
      </c>
      <c r="D12" s="59" t="n">
        <f aca="false">AB12</f>
        <v>38000</v>
      </c>
      <c r="E12" s="60" t="n">
        <f aca="false">Inputs_Actuals!$C$180</f>
        <v>38000</v>
      </c>
      <c r="F12" s="71" t="n">
        <f aca="false">E12</f>
        <v>38000</v>
      </c>
      <c r="G12" s="71" t="n">
        <f aca="false">F12</f>
        <v>38000</v>
      </c>
      <c r="H12" s="71" t="n">
        <f aca="false">G12</f>
        <v>38000</v>
      </c>
      <c r="I12" s="71" t="n">
        <f aca="false">H12</f>
        <v>38000</v>
      </c>
      <c r="J12" s="71" t="n">
        <f aca="false">I12</f>
        <v>38000</v>
      </c>
      <c r="K12" s="71" t="n">
        <f aca="false">J12</f>
        <v>38000</v>
      </c>
      <c r="L12" s="71" t="n">
        <f aca="false">K12</f>
        <v>38000</v>
      </c>
      <c r="M12" s="71" t="n">
        <f aca="false">L12</f>
        <v>38000</v>
      </c>
      <c r="N12" s="71" t="n">
        <f aca="false">M12</f>
        <v>38000</v>
      </c>
      <c r="O12" s="71" t="n">
        <f aca="false">N12</f>
        <v>38000</v>
      </c>
      <c r="P12" s="71" t="n">
        <f aca="false">O12</f>
        <v>38000</v>
      </c>
      <c r="Q12" s="71" t="n">
        <f aca="false">P12</f>
        <v>38000</v>
      </c>
      <c r="R12" s="71" t="n">
        <f aca="false">Q12</f>
        <v>38000</v>
      </c>
      <c r="S12" s="71" t="n">
        <f aca="false">R12</f>
        <v>38000</v>
      </c>
      <c r="T12" s="71" t="n">
        <f aca="false">S12</f>
        <v>38000</v>
      </c>
      <c r="U12" s="71" t="n">
        <f aca="false">T12</f>
        <v>38000</v>
      </c>
      <c r="V12" s="71" t="n">
        <f aca="false">U12</f>
        <v>38000</v>
      </c>
      <c r="W12" s="71" t="n">
        <f aca="false">V12</f>
        <v>38000</v>
      </c>
      <c r="X12" s="71" t="n">
        <f aca="false">W12</f>
        <v>38000</v>
      </c>
      <c r="Y12" s="71" t="n">
        <f aca="false">X12</f>
        <v>38000</v>
      </c>
      <c r="Z12" s="71" t="n">
        <f aca="false">Y12</f>
        <v>38000</v>
      </c>
      <c r="AA12" s="71" t="n">
        <f aca="false">Z12</f>
        <v>38000</v>
      </c>
      <c r="AB12" s="71" t="n">
        <f aca="false">AA12</f>
        <v>38000</v>
      </c>
    </row>
    <row r="13" customFormat="false" ht="15" hidden="false" customHeight="false" outlineLevel="0" collapsed="false">
      <c r="A13" s="28" t="s">
        <v>383</v>
      </c>
      <c r="B13" s="58" t="s">
        <v>75</v>
      </c>
      <c r="C13" s="59" t="n">
        <f aca="false">P13</f>
        <v>102183.333333333</v>
      </c>
      <c r="D13" s="59" t="n">
        <f aca="false">AB13</f>
        <v>80703.4444444444</v>
      </c>
      <c r="E13" s="60" t="n">
        <f aca="false">Fixed_Assets!E27</f>
        <v>137616.666666667</v>
      </c>
      <c r="F13" s="60" t="n">
        <f aca="false">Fixed_Assets!F27</f>
        <v>132994.444444444</v>
      </c>
      <c r="G13" s="60" t="n">
        <f aca="false">Fixed_Assets!G27</f>
        <v>129986.111111111</v>
      </c>
      <c r="H13" s="60" t="n">
        <f aca="false">Fixed_Assets!H27</f>
        <v>128933.333333333</v>
      </c>
      <c r="I13" s="60" t="n">
        <f aca="false">Fixed_Assets!I27</f>
        <v>123555.555555556</v>
      </c>
      <c r="J13" s="60" t="n">
        <f aca="false">Fixed_Assets!J27</f>
        <v>119611.111111111</v>
      </c>
      <c r="K13" s="60" t="n">
        <f aca="false">Fixed_Assets!K27</f>
        <v>117933.333333333</v>
      </c>
      <c r="L13" s="60" t="n">
        <f aca="false">Fixed_Assets!L27</f>
        <v>113011.111111111</v>
      </c>
      <c r="M13" s="60" t="n">
        <f aca="false">Fixed_Assets!M27</f>
        <v>109211.111111111</v>
      </c>
      <c r="N13" s="60" t="n">
        <f aca="false">Fixed_Assets!N27</f>
        <v>107861.111111111</v>
      </c>
      <c r="O13" s="60" t="n">
        <f aca="false">Fixed_Assets!O27</f>
        <v>106361.111111111</v>
      </c>
      <c r="P13" s="60" t="n">
        <f aca="false">Fixed_Assets!P27</f>
        <v>102183.333333333</v>
      </c>
      <c r="Q13" s="60" t="n">
        <f aca="false">Fixed_Assets!Q27</f>
        <v>99187.7777777778</v>
      </c>
      <c r="R13" s="60" t="n">
        <f aca="false">Fixed_Assets!R27</f>
        <v>94940.9444444445</v>
      </c>
      <c r="S13" s="60" t="n">
        <f aca="false">Fixed_Assets!S27</f>
        <v>127023.944444444</v>
      </c>
      <c r="T13" s="60" t="n">
        <f aca="false">Fixed_Assets!T27</f>
        <v>124513.444444444</v>
      </c>
      <c r="U13" s="60" t="n">
        <f aca="false">Fixed_Assets!U27</f>
        <v>119321.666666667</v>
      </c>
      <c r="V13" s="60" t="n">
        <f aca="false">Fixed_Assets!V27</f>
        <v>114048.611111111</v>
      </c>
      <c r="W13" s="60" t="n">
        <f aca="false">Fixed_Assets!W27</f>
        <v>108694.277777778</v>
      </c>
      <c r="X13" s="60" t="n">
        <f aca="false">Fixed_Assets!X27</f>
        <v>103258.666666667</v>
      </c>
      <c r="Y13" s="60" t="n">
        <f aca="false">Fixed_Assets!Y27</f>
        <v>97741.7777777778</v>
      </c>
      <c r="Z13" s="60" t="n">
        <f aca="false">Fixed_Assets!Z27</f>
        <v>92143.6111111111</v>
      </c>
      <c r="AA13" s="60" t="n">
        <f aca="false">Fixed_Assets!AA27</f>
        <v>86464.1666666666</v>
      </c>
      <c r="AB13" s="60" t="n">
        <f aca="false">Fixed_Assets!AB27</f>
        <v>80703.4444444444</v>
      </c>
    </row>
    <row r="14" customFormat="false" ht="15" hidden="false" customHeight="false" outlineLevel="0" collapsed="false">
      <c r="A14" s="68" t="s">
        <v>384</v>
      </c>
      <c r="B14" s="69"/>
      <c r="C14" s="70" t="n">
        <f aca="false">P14</f>
        <v>1543075.86538637</v>
      </c>
      <c r="D14" s="70" t="n">
        <f aca="false">AB14</f>
        <v>1673803.87558244</v>
      </c>
      <c r="E14" s="70" t="n">
        <f aca="false">SUM(E9:E13)</f>
        <v>1423473.08405662</v>
      </c>
      <c r="F14" s="70" t="n">
        <f aca="false">SUM(F9:F13)</f>
        <v>1438383.34895427</v>
      </c>
      <c r="G14" s="70" t="n">
        <f aca="false">SUM(G9:G13)</f>
        <v>1403210.662628</v>
      </c>
      <c r="H14" s="70" t="n">
        <f aca="false">SUM(H9:H13)</f>
        <v>1418803.55800472</v>
      </c>
      <c r="I14" s="70" t="n">
        <f aca="false">SUM(I9:I13)</f>
        <v>1430374.82320191</v>
      </c>
      <c r="J14" s="70" t="n">
        <f aca="false">SUM(J9:J13)</f>
        <v>1194424.20354431</v>
      </c>
      <c r="K14" s="70" t="n">
        <f aca="false">SUM(K9:K13)</f>
        <v>1210339.32416897</v>
      </c>
      <c r="L14" s="70" t="n">
        <f aca="false">SUM(L9:L13)</f>
        <v>1256682.12658286</v>
      </c>
      <c r="M14" s="70" t="n">
        <f aca="false">SUM(M9:M13)</f>
        <v>1343215.30104778</v>
      </c>
      <c r="N14" s="70" t="n">
        <f aca="false">SUM(N9:N13)</f>
        <v>1513647.47858147</v>
      </c>
      <c r="O14" s="70" t="n">
        <f aca="false">SUM(O9:O13)</f>
        <v>1609541.72607126</v>
      </c>
      <c r="P14" s="70" t="n">
        <f aca="false">SUM(P9:P13)</f>
        <v>1543075.86538637</v>
      </c>
      <c r="Q14" s="70" t="n">
        <f aca="false">SUM(Q9:Q13)</f>
        <v>1578755.16299979</v>
      </c>
      <c r="R14" s="70" t="n">
        <f aca="false">SUM(R9:R13)</f>
        <v>1575068.34450856</v>
      </c>
      <c r="S14" s="70" t="n">
        <f aca="false">SUM(S9:S13)</f>
        <v>1549151.20279494</v>
      </c>
      <c r="T14" s="70" t="n">
        <f aca="false">SUM(T9:T13)</f>
        <v>1607824.61009989</v>
      </c>
      <c r="U14" s="70" t="n">
        <f aca="false">SUM(U9:U13)</f>
        <v>1660149.80079335</v>
      </c>
      <c r="V14" s="70" t="n">
        <f aca="false">SUM(V9:V13)</f>
        <v>1461732.34654973</v>
      </c>
      <c r="W14" s="70" t="n">
        <f aca="false">SUM(W9:W13)</f>
        <v>1469828.89148675</v>
      </c>
      <c r="X14" s="70" t="n">
        <f aca="false">SUM(X9:X13)</f>
        <v>1482033.78128683</v>
      </c>
      <c r="Y14" s="70" t="n">
        <f aca="false">SUM(Y9:Y13)</f>
        <v>1515509.4149697</v>
      </c>
      <c r="Z14" s="70" t="n">
        <f aca="false">SUM(Z9:Z13)</f>
        <v>1632377.44973525</v>
      </c>
      <c r="AA14" s="70" t="n">
        <f aca="false">SUM(AA9:AA13)</f>
        <v>1703133.89511111</v>
      </c>
      <c r="AB14" s="70" t="n">
        <f aca="false">SUM(AB9:AB13)</f>
        <v>1673803.87558244</v>
      </c>
    </row>
    <row r="15" customFormat="false" ht="15" hidden="false" customHeight="false" outlineLevel="0" collapsed="false">
      <c r="A15" s="22" t="s">
        <v>385</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row>
    <row r="16" customFormat="false" ht="15" hidden="false" customHeight="false" outlineLevel="0" collapsed="false">
      <c r="A16" s="28" t="s">
        <v>386</v>
      </c>
      <c r="B16" s="58" t="s">
        <v>69</v>
      </c>
      <c r="C16" s="59" t="n">
        <f aca="false">P16</f>
        <v>4018.66666666667</v>
      </c>
      <c r="D16" s="59" t="n">
        <f aca="false">AB16</f>
        <v>4199.50666666667</v>
      </c>
      <c r="E16" s="60" t="n">
        <f aca="false">Payables!E12</f>
        <v>3639.15168</v>
      </c>
      <c r="F16" s="60" t="n">
        <f aca="false">Payables!F12</f>
        <v>4316.46496</v>
      </c>
      <c r="G16" s="60" t="n">
        <f aca="false">Payables!G12</f>
        <v>3396.72416</v>
      </c>
      <c r="H16" s="60" t="n">
        <f aca="false">Payables!H12</f>
        <v>4501.83512</v>
      </c>
      <c r="I16" s="60" t="n">
        <f aca="false">Payables!I12</f>
        <v>3824.9532</v>
      </c>
      <c r="J16" s="60" t="n">
        <f aca="false">Payables!J12</f>
        <v>20329.9532</v>
      </c>
      <c r="K16" s="60" t="n">
        <f aca="false">Payables!K12</f>
        <v>47535.25112</v>
      </c>
      <c r="L16" s="60" t="n">
        <f aca="false">Payables!L12</f>
        <v>25256.16552</v>
      </c>
      <c r="M16" s="60" t="n">
        <f aca="false">Payables!M12</f>
        <v>8495.78664455646</v>
      </c>
      <c r="N16" s="60" t="n">
        <f aca="false">Payables!N12</f>
        <v>4018.66666666667</v>
      </c>
      <c r="O16" s="60" t="n">
        <f aca="false">Payables!O12</f>
        <v>4018.66666666667</v>
      </c>
      <c r="P16" s="60" t="n">
        <f aca="false">Payables!P12</f>
        <v>4018.66666666667</v>
      </c>
      <c r="Q16" s="60" t="n">
        <f aca="false">Payables!Q12</f>
        <v>4199.50666666667</v>
      </c>
      <c r="R16" s="60" t="n">
        <f aca="false">Payables!R12</f>
        <v>4199.50666666667</v>
      </c>
      <c r="S16" s="60" t="n">
        <f aca="false">Payables!S12</f>
        <v>4199.50666666667</v>
      </c>
      <c r="T16" s="60" t="n">
        <f aca="false">Payables!T12</f>
        <v>4199.50666666667</v>
      </c>
      <c r="U16" s="60" t="n">
        <f aca="false">Payables!U12</f>
        <v>4199.50666666667</v>
      </c>
      <c r="V16" s="60" t="n">
        <f aca="false">Payables!V12</f>
        <v>4199.50666666667</v>
      </c>
      <c r="W16" s="60" t="n">
        <f aca="false">Payables!W12</f>
        <v>16061.1934593242</v>
      </c>
      <c r="X16" s="60" t="n">
        <f aca="false">Payables!X12</f>
        <v>4199.50666666667</v>
      </c>
      <c r="Y16" s="60" t="n">
        <f aca="false">Payables!Y12</f>
        <v>4199.50666666667</v>
      </c>
      <c r="Z16" s="60" t="n">
        <f aca="false">Payables!Z12</f>
        <v>4199.50666666667</v>
      </c>
      <c r="AA16" s="60" t="n">
        <f aca="false">Payables!AA12</f>
        <v>4199.50666666667</v>
      </c>
      <c r="AB16" s="60" t="n">
        <f aca="false">Payables!AB12</f>
        <v>4199.50666666667</v>
      </c>
    </row>
    <row r="17" customFormat="false" ht="15" hidden="false" customHeight="false" outlineLevel="0" collapsed="false">
      <c r="A17" s="28" t="s">
        <v>387</v>
      </c>
      <c r="B17" s="58" t="s">
        <v>69</v>
      </c>
      <c r="C17" s="59" t="n">
        <f aca="false">P17</f>
        <v>280595.15673931</v>
      </c>
      <c r="D17" s="59" t="n">
        <f aca="false">AB17</f>
        <v>252055.641065379</v>
      </c>
      <c r="E17" s="60" t="n">
        <f aca="false">Payables!E17</f>
        <v>194945.434184592</v>
      </c>
      <c r="F17" s="60" t="n">
        <f aca="false">Payables!F17</f>
        <v>195930.65886254</v>
      </c>
      <c r="G17" s="60" t="n">
        <f aca="false">Payables!G17</f>
        <v>220130.661404271</v>
      </c>
      <c r="H17" s="60" t="n">
        <f aca="false">Payables!H17</f>
        <v>250998.921198462</v>
      </c>
      <c r="I17" s="60" t="n">
        <f aca="false">Payables!I17</f>
        <v>242339.525692147</v>
      </c>
      <c r="J17" s="60" t="n">
        <f aca="false">Payables!J17</f>
        <v>209936.066382147</v>
      </c>
      <c r="K17" s="60" t="n">
        <f aca="false">Payables!K17</f>
        <v>192424.621846302</v>
      </c>
      <c r="L17" s="60" t="n">
        <f aca="false">Payables!L17</f>
        <v>235049.153180087</v>
      </c>
      <c r="M17" s="60" t="n">
        <f aca="false">Payables!M17</f>
        <v>233829.297282758</v>
      </c>
      <c r="N17" s="60" t="n">
        <f aca="false">Payables!N17</f>
        <v>257212.227011034</v>
      </c>
      <c r="O17" s="60" t="n">
        <f aca="false">Payables!O17</f>
        <v>315669.551331724</v>
      </c>
      <c r="P17" s="60" t="n">
        <f aca="false">Payables!P17</f>
        <v>280595.15673931</v>
      </c>
      <c r="Q17" s="60" t="n">
        <f aca="false">Payables!Q17</f>
        <v>197819.902690345</v>
      </c>
      <c r="R17" s="60" t="n">
        <f aca="false">Payables!R17</f>
        <v>197819.902690345</v>
      </c>
      <c r="S17" s="60" t="n">
        <f aca="false">Payables!S17</f>
        <v>216817.83241862</v>
      </c>
      <c r="T17" s="60" t="n">
        <f aca="false">Payables!T17</f>
        <v>221807.664553448</v>
      </c>
      <c r="U17" s="60" t="n">
        <f aca="false">Payables!U17</f>
        <v>221807.664553448</v>
      </c>
      <c r="V17" s="60" t="n">
        <f aca="false">Payables!V17</f>
        <v>210717.281325775</v>
      </c>
      <c r="W17" s="60" t="n">
        <f aca="false">Payables!W17</f>
        <v>181939.41242131</v>
      </c>
      <c r="X17" s="60" t="n">
        <f aca="false">Payables!X17</f>
        <v>192641.730799034</v>
      </c>
      <c r="Y17" s="60" t="n">
        <f aca="false">Payables!Y17</f>
        <v>214046.367554482</v>
      </c>
      <c r="Z17" s="60" t="n">
        <f aca="false">Payables!Z17</f>
        <v>231051.004309931</v>
      </c>
      <c r="AA17" s="60" t="n">
        <f aca="false">Payables!AA17</f>
        <v>283562.596198551</v>
      </c>
      <c r="AB17" s="60" t="n">
        <f aca="false">Payables!AB17</f>
        <v>252055.641065379</v>
      </c>
    </row>
    <row r="18" customFormat="false" ht="15" hidden="false" customHeight="false" outlineLevel="0" collapsed="false">
      <c r="A18" s="28" t="s">
        <v>388</v>
      </c>
      <c r="B18" s="58" t="s">
        <v>69</v>
      </c>
      <c r="C18" s="59" t="n">
        <f aca="false">P18</f>
        <v>5812.5</v>
      </c>
      <c r="D18" s="59" t="n">
        <f aca="false">AB18</f>
        <v>0</v>
      </c>
      <c r="E18" s="60" t="n">
        <f aca="false">Payables!E22</f>
        <v>0</v>
      </c>
      <c r="F18" s="60" t="n">
        <f aca="false">Payables!F22</f>
        <v>0</v>
      </c>
      <c r="G18" s="60" t="n">
        <f aca="false">Payables!G22</f>
        <v>0</v>
      </c>
      <c r="H18" s="60" t="n">
        <f aca="false">Payables!H22</f>
        <v>0</v>
      </c>
      <c r="I18" s="60" t="n">
        <f aca="false">Payables!I22</f>
        <v>0</v>
      </c>
      <c r="J18" s="60" t="n">
        <f aca="false">Payables!J22</f>
        <v>0</v>
      </c>
      <c r="K18" s="60" t="n">
        <f aca="false">Payables!K22</f>
        <v>5191.28</v>
      </c>
      <c r="L18" s="60" t="n">
        <f aca="false">Payables!L22</f>
        <v>6911.34</v>
      </c>
      <c r="M18" s="60" t="n">
        <f aca="false">Payables!M22</f>
        <v>8320.05555555556</v>
      </c>
      <c r="N18" s="60" t="n">
        <f aca="false">Payables!N22</f>
        <v>14716.3888888889</v>
      </c>
      <c r="O18" s="60" t="n">
        <f aca="false">Payables!O22</f>
        <v>13559.0555555556</v>
      </c>
      <c r="P18" s="60" t="n">
        <f aca="false">Payables!P22</f>
        <v>5812.5</v>
      </c>
      <c r="Q18" s="60" t="n">
        <f aca="false">Payables!Q22</f>
        <v>0</v>
      </c>
      <c r="R18" s="60" t="n">
        <f aca="false">Payables!R22</f>
        <v>0</v>
      </c>
      <c r="S18" s="60" t="n">
        <f aca="false">Payables!S22</f>
        <v>0</v>
      </c>
      <c r="T18" s="60" t="n">
        <f aca="false">Payables!T22</f>
        <v>0</v>
      </c>
      <c r="U18" s="60" t="n">
        <f aca="false">Payables!U22</f>
        <v>0</v>
      </c>
      <c r="V18" s="60" t="n">
        <f aca="false">Payables!V22</f>
        <v>0</v>
      </c>
      <c r="W18" s="60" t="n">
        <f aca="false">Payables!W22</f>
        <v>0</v>
      </c>
      <c r="X18" s="60" t="n">
        <f aca="false">Payables!X22</f>
        <v>0</v>
      </c>
      <c r="Y18" s="60" t="n">
        <f aca="false">Payables!Y22</f>
        <v>0</v>
      </c>
      <c r="Z18" s="60" t="n">
        <f aca="false">Payables!Z22</f>
        <v>0</v>
      </c>
      <c r="AA18" s="60" t="n">
        <f aca="false">Payables!AA22</f>
        <v>0</v>
      </c>
      <c r="AB18" s="60" t="n">
        <f aca="false">Payables!AB22</f>
        <v>0</v>
      </c>
    </row>
    <row r="19" customFormat="false" ht="15" hidden="false" customHeight="false" outlineLevel="0" collapsed="false">
      <c r="A19" s="28" t="s">
        <v>389</v>
      </c>
      <c r="B19" s="58" t="s">
        <v>69</v>
      </c>
      <c r="C19" s="59" t="n">
        <f aca="false">P19</f>
        <v>25114.8</v>
      </c>
      <c r="D19" s="59" t="n">
        <f aca="false">AB19</f>
        <v>25868.244</v>
      </c>
      <c r="E19" s="60" t="n">
        <f aca="false">Payables!E27</f>
        <v>24604.464</v>
      </c>
      <c r="F19" s="60" t="n">
        <f aca="false">Payables!F27</f>
        <v>26075.648</v>
      </c>
      <c r="G19" s="60" t="n">
        <f aca="false">Payables!G27</f>
        <v>33979.422</v>
      </c>
      <c r="H19" s="60" t="n">
        <f aca="false">Payables!H27</f>
        <v>24448.882</v>
      </c>
      <c r="I19" s="60" t="n">
        <f aca="false">Payables!I27</f>
        <v>27001.648</v>
      </c>
      <c r="J19" s="60" t="n">
        <f aca="false">Payables!J27</f>
        <v>22879.108</v>
      </c>
      <c r="K19" s="60" t="n">
        <f aca="false">Payables!K27</f>
        <v>25041.492</v>
      </c>
      <c r="L19" s="60" t="n">
        <f aca="false">Payables!L27</f>
        <v>22728.426</v>
      </c>
      <c r="M19" s="60" t="n">
        <f aca="false">Payables!M27</f>
        <v>25114.8</v>
      </c>
      <c r="N19" s="60" t="n">
        <f aca="false">Payables!N27</f>
        <v>28462.8</v>
      </c>
      <c r="O19" s="60" t="n">
        <f aca="false">Payables!O27</f>
        <v>28462.8</v>
      </c>
      <c r="P19" s="60" t="n">
        <f aca="false">Payables!P27</f>
        <v>25114.8</v>
      </c>
      <c r="Q19" s="60" t="n">
        <f aca="false">Payables!Q27</f>
        <v>27374.844</v>
      </c>
      <c r="R19" s="60" t="n">
        <f aca="false">Payables!R27</f>
        <v>25868.244</v>
      </c>
      <c r="S19" s="60" t="n">
        <f aca="false">Payables!S27</f>
        <v>27207.444</v>
      </c>
      <c r="T19" s="60" t="n">
        <f aca="false">Payables!T27</f>
        <v>29216.244</v>
      </c>
      <c r="U19" s="60" t="n">
        <f aca="false">Payables!U27</f>
        <v>25868.244</v>
      </c>
      <c r="V19" s="60" t="n">
        <f aca="false">Payables!V27</f>
        <v>25868.244</v>
      </c>
      <c r="W19" s="60" t="n">
        <f aca="false">Payables!W27</f>
        <v>25868.244</v>
      </c>
      <c r="X19" s="60" t="n">
        <f aca="false">Payables!X27</f>
        <v>25868.244</v>
      </c>
      <c r="Y19" s="60" t="n">
        <f aca="false">Payables!Y27</f>
        <v>25868.244</v>
      </c>
      <c r="Z19" s="60" t="n">
        <f aca="false">Payables!Z27</f>
        <v>25868.244</v>
      </c>
      <c r="AA19" s="60" t="n">
        <f aca="false">Payables!AA27</f>
        <v>25868.244</v>
      </c>
      <c r="AB19" s="60" t="n">
        <f aca="false">Payables!AB27</f>
        <v>25868.244</v>
      </c>
    </row>
    <row r="20" customFormat="false" ht="15" hidden="false" customHeight="false" outlineLevel="0" collapsed="false">
      <c r="A20" s="28" t="s">
        <v>390</v>
      </c>
      <c r="B20" s="58" t="s">
        <v>57</v>
      </c>
      <c r="C20" s="59" t="n">
        <f aca="false">P20</f>
        <v>92711.696</v>
      </c>
      <c r="D20" s="59" t="n">
        <f aca="false">AB20</f>
        <v>102611.650284</v>
      </c>
      <c r="E20" s="60" t="n">
        <f aca="false">People!E44</f>
        <v>86572.816</v>
      </c>
      <c r="F20" s="60" t="n">
        <f aca="false">People!F44</f>
        <v>86152.01056</v>
      </c>
      <c r="G20" s="60" t="n">
        <f aca="false">People!G44</f>
        <v>144873.719716592</v>
      </c>
      <c r="H20" s="60" t="n">
        <f aca="false">People!H44</f>
        <v>90044.89296</v>
      </c>
      <c r="I20" s="60" t="n">
        <f aca="false">People!I44</f>
        <v>86327.69552</v>
      </c>
      <c r="J20" s="60" t="n">
        <f aca="false">People!J44</f>
        <v>86260.29632</v>
      </c>
      <c r="K20" s="60" t="n">
        <f aca="false">People!K44</f>
        <v>88574.2792</v>
      </c>
      <c r="L20" s="60" t="n">
        <f aca="false">People!L44</f>
        <v>89077.72192</v>
      </c>
      <c r="M20" s="60" t="n">
        <f aca="false">People!M44</f>
        <v>87979.408</v>
      </c>
      <c r="N20" s="60" t="n">
        <f aca="false">People!N44</f>
        <v>90697.2</v>
      </c>
      <c r="O20" s="60" t="n">
        <f aca="false">People!O44</f>
        <v>92711.696</v>
      </c>
      <c r="P20" s="60" t="n">
        <f aca="false">People!P44</f>
        <v>92711.696</v>
      </c>
      <c r="Q20" s="60" t="n">
        <f aca="false">People!Q44</f>
        <v>98442.082508</v>
      </c>
      <c r="R20" s="60" t="n">
        <f aca="false">People!R44</f>
        <v>98442.082508</v>
      </c>
      <c r="S20" s="60" t="n">
        <f aca="false">People!S44</f>
        <v>156097.054828</v>
      </c>
      <c r="T20" s="60" t="n">
        <f aca="false">People!T44</f>
        <v>102611.650284</v>
      </c>
      <c r="U20" s="60" t="n">
        <f aca="false">People!U44</f>
        <v>102611.650284</v>
      </c>
      <c r="V20" s="60" t="n">
        <f aca="false">People!V44</f>
        <v>102611.650284</v>
      </c>
      <c r="W20" s="60" t="n">
        <f aca="false">People!W44</f>
        <v>102611.650284</v>
      </c>
      <c r="X20" s="60" t="n">
        <f aca="false">People!X44</f>
        <v>102611.650284</v>
      </c>
      <c r="Y20" s="60" t="n">
        <f aca="false">People!Y44</f>
        <v>102611.650284</v>
      </c>
      <c r="Z20" s="60" t="n">
        <f aca="false">People!Z44</f>
        <v>102611.650284</v>
      </c>
      <c r="AA20" s="60" t="n">
        <f aca="false">People!AA44</f>
        <v>102611.650284</v>
      </c>
      <c r="AB20" s="60" t="n">
        <f aca="false">People!AB44</f>
        <v>102611.650284</v>
      </c>
    </row>
    <row r="21" customFormat="false" ht="15" hidden="false" customHeight="false" outlineLevel="0" collapsed="false">
      <c r="A21" s="28" t="s">
        <v>391</v>
      </c>
      <c r="B21" s="58" t="s">
        <v>71</v>
      </c>
      <c r="C21" s="59" t="n">
        <f aca="false">P21</f>
        <v>3838.38110763129</v>
      </c>
      <c r="D21" s="59" t="n">
        <f aca="false">AB21</f>
        <v>4460.00755193655</v>
      </c>
      <c r="E21" s="60" t="n">
        <f aca="false">VAT!E24</f>
        <v>2576.25312</v>
      </c>
      <c r="F21" s="60" t="n">
        <f aca="false">VAT!F24</f>
        <v>3192.80832</v>
      </c>
      <c r="G21" s="60" t="n">
        <f aca="false">VAT!G24</f>
        <v>1660.9608</v>
      </c>
      <c r="H21" s="60" t="n">
        <f aca="false">VAT!H24</f>
        <v>2835.33744</v>
      </c>
      <c r="I21" s="60" t="n">
        <f aca="false">VAT!I24</f>
        <v>3472.45391999999</v>
      </c>
      <c r="J21" s="60" t="n">
        <f aca="false">VAT!J24</f>
        <v>1653.36480000001</v>
      </c>
      <c r="K21" s="60" t="n">
        <f aca="false">VAT!K24</f>
        <v>-3930.04512</v>
      </c>
      <c r="L21" s="60" t="n">
        <f aca="false">VAT!L24</f>
        <v>-4074.53711999999</v>
      </c>
      <c r="M21" s="60" t="n">
        <f aca="false">VAT!M24</f>
        <v>878.373525046118</v>
      </c>
      <c r="N21" s="60" t="n">
        <f aca="false">VAT!N24</f>
        <v>-84.9808661902644</v>
      </c>
      <c r="O21" s="60" t="n">
        <f aca="false">VAT!O24</f>
        <v>1627.76962713122</v>
      </c>
      <c r="P21" s="60" t="n">
        <f aca="false">VAT!P24</f>
        <v>3838.38110763129</v>
      </c>
      <c r="Q21" s="60" t="n">
        <f aca="false">VAT!Q24</f>
        <v>1153.67631007249</v>
      </c>
      <c r="R21" s="60" t="n">
        <f aca="false">VAT!R24</f>
        <v>2493.73555193654</v>
      </c>
      <c r="S21" s="60" t="n">
        <f aca="false">VAT!S24</f>
        <v>-6365.21706195569</v>
      </c>
      <c r="T21" s="60" t="n">
        <f aca="false">VAT!T24</f>
        <v>-4633.64889612692</v>
      </c>
      <c r="U21" s="60" t="n">
        <f aca="false">VAT!U24</f>
        <v>3303.3753473058</v>
      </c>
      <c r="V21" s="60" t="n">
        <f aca="false">VAT!V24</f>
        <v>3022.4793473058</v>
      </c>
      <c r="W21" s="60" t="n">
        <f aca="false">VAT!W24</f>
        <v>703.928321945896</v>
      </c>
      <c r="X21" s="60" t="n">
        <f aca="false">VAT!X24</f>
        <v>2113.66745932167</v>
      </c>
      <c r="Y21" s="60" t="n">
        <f aca="false">VAT!Y24</f>
        <v>3072.03791489059</v>
      </c>
      <c r="Z21" s="60" t="n">
        <f aca="false">VAT!Z24</f>
        <v>3997.36016582878</v>
      </c>
      <c r="AA21" s="60" t="n">
        <f aca="false">VAT!AA24</f>
        <v>5500.98477972101</v>
      </c>
      <c r="AB21" s="60" t="n">
        <f aca="false">VAT!AB24</f>
        <v>4460.00755193655</v>
      </c>
    </row>
    <row r="22" customFormat="false" ht="15" hidden="false" customHeight="false" outlineLevel="0" collapsed="false">
      <c r="A22" s="28" t="s">
        <v>321</v>
      </c>
      <c r="B22" s="58" t="s">
        <v>61</v>
      </c>
      <c r="C22" s="59" t="n">
        <f aca="false">P22</f>
        <v>2810.67545641537</v>
      </c>
      <c r="D22" s="59" t="n">
        <f aca="false">AB22</f>
        <v>10608</v>
      </c>
      <c r="E22" s="60" t="n">
        <f aca="false">FX!E74</f>
        <v>68030.4779496652</v>
      </c>
      <c r="F22" s="60" t="n">
        <f aca="false">FX!F74</f>
        <v>80699.3230402578</v>
      </c>
      <c r="G22" s="60" t="n">
        <f aca="false">FX!G74</f>
        <v>71738.6281231405</v>
      </c>
      <c r="H22" s="60" t="n">
        <f aca="false">FX!H74</f>
        <v>88889.4266295053</v>
      </c>
      <c r="I22" s="60" t="n">
        <f aca="false">FX!I74</f>
        <v>55026.4496154423</v>
      </c>
      <c r="J22" s="60" t="n">
        <f aca="false">FX!J74</f>
        <v>45288.2197937035</v>
      </c>
      <c r="K22" s="60" t="n">
        <f aca="false">FX!K74</f>
        <v>89828.5440501093</v>
      </c>
      <c r="L22" s="60" t="n">
        <f aca="false">FX!L74</f>
        <v>33513.5438072109</v>
      </c>
      <c r="M22" s="60" t="n">
        <f aca="false">FX!M74</f>
        <v>20016.2605720231</v>
      </c>
      <c r="N22" s="60" t="n">
        <f aca="false">FX!N74</f>
        <v>74070.8376144218</v>
      </c>
      <c r="O22" s="60" t="n">
        <f aca="false">FX!O74</f>
        <v>49100.016792787</v>
      </c>
      <c r="P22" s="60" t="n">
        <f aca="false">FX!P74</f>
        <v>2810.67545641537</v>
      </c>
      <c r="Q22" s="60" t="n">
        <f aca="false">FX!Q74</f>
        <v>107011.087614422</v>
      </c>
      <c r="R22" s="60" t="n">
        <f aca="false">FX!R74</f>
        <v>60930.6647480855</v>
      </c>
      <c r="S22" s="60" t="n">
        <f aca="false">FX!S74</f>
        <v>30710.8861795727</v>
      </c>
      <c r="T22" s="60" t="n">
        <f aca="false">FX!T74</f>
        <v>66353.8725256173</v>
      </c>
      <c r="U22" s="60" t="n">
        <f aca="false">FX!U74</f>
        <v>42882.4217258626</v>
      </c>
      <c r="V22" s="60" t="n">
        <f aca="false">FX!V74</f>
        <v>10608</v>
      </c>
      <c r="W22" s="60" t="n">
        <f aca="false">FX!W74</f>
        <v>64785.3540070988</v>
      </c>
      <c r="X22" s="60" t="n">
        <f aca="false">FX!X74</f>
        <v>32392.6770035494</v>
      </c>
      <c r="Y22" s="60" t="n">
        <f aca="false">FX!Y74</f>
        <v>10608</v>
      </c>
      <c r="Z22" s="60" t="n">
        <f aca="false">FX!Z74</f>
        <v>62737.3540070988</v>
      </c>
      <c r="AA22" s="60" t="n">
        <f aca="false">FX!AA74</f>
        <v>31368.6770035494</v>
      </c>
      <c r="AB22" s="60" t="n">
        <f aca="false">FX!AB74</f>
        <v>10608</v>
      </c>
    </row>
    <row r="23" customFormat="false" ht="15" hidden="false" customHeight="false" outlineLevel="0" collapsed="false">
      <c r="A23" s="28" t="s">
        <v>392</v>
      </c>
      <c r="B23" s="58" t="s">
        <v>57</v>
      </c>
      <c r="C23" s="59" t="n">
        <f aca="false">P23</f>
        <v>129583.6944</v>
      </c>
      <c r="D23" s="59" t="n">
        <f aca="false">AB23</f>
        <v>147990.74103</v>
      </c>
      <c r="E23" s="60" t="n">
        <f aca="false">People!E33</f>
        <v>142050.13</v>
      </c>
      <c r="F23" s="60" t="n">
        <f aca="false">People!F33</f>
        <v>152552.2258</v>
      </c>
      <c r="G23" s="60" t="n">
        <f aca="false">People!G33</f>
        <v>31682.3013</v>
      </c>
      <c r="H23" s="60" t="n">
        <f aca="false">People!H33</f>
        <v>42646.3416</v>
      </c>
      <c r="I23" s="60" t="n">
        <f aca="false">People!I33</f>
        <v>53150.9127</v>
      </c>
      <c r="J23" s="60" t="n">
        <f aca="false">People!J33</f>
        <v>63647.7903</v>
      </c>
      <c r="K23" s="60" t="n">
        <f aca="false">People!K33</f>
        <v>74426.3838</v>
      </c>
      <c r="L23" s="60" t="n">
        <f aca="false">People!L33</f>
        <v>85262.4444</v>
      </c>
      <c r="M23" s="60" t="n">
        <f aca="false">People!M33</f>
        <v>95973.1344</v>
      </c>
      <c r="N23" s="60" t="n">
        <f aca="false">People!N33</f>
        <v>107011.6344</v>
      </c>
      <c r="O23" s="60" t="n">
        <f aca="false">People!O33</f>
        <v>118297.6644</v>
      </c>
      <c r="P23" s="60" t="n">
        <f aca="false">People!P33</f>
        <v>129583.6944</v>
      </c>
      <c r="Q23" s="60" t="n">
        <f aca="false">People!Q33</f>
        <v>141531.7484025</v>
      </c>
      <c r="R23" s="60" t="n">
        <f aca="false">People!R33</f>
        <v>153479.802405</v>
      </c>
      <c r="S23" s="60" t="n">
        <f aca="false">People!S33</f>
        <v>35953.2223875</v>
      </c>
      <c r="T23" s="60" t="n">
        <f aca="false">People!T33</f>
        <v>48401.83557</v>
      </c>
      <c r="U23" s="60" t="n">
        <f aca="false">People!U33</f>
        <v>60850.4487525</v>
      </c>
      <c r="V23" s="60" t="n">
        <f aca="false">People!V33</f>
        <v>73299.061935</v>
      </c>
      <c r="W23" s="60" t="n">
        <f aca="false">People!W33</f>
        <v>85747.6751175</v>
      </c>
      <c r="X23" s="60" t="n">
        <f aca="false">People!X33</f>
        <v>98196.2883</v>
      </c>
      <c r="Y23" s="60" t="n">
        <f aca="false">People!Y33</f>
        <v>110644.9014825</v>
      </c>
      <c r="Z23" s="60" t="n">
        <f aca="false">People!Z33</f>
        <v>123093.514665</v>
      </c>
      <c r="AA23" s="60" t="n">
        <f aca="false">People!AA33</f>
        <v>135542.1278475</v>
      </c>
      <c r="AB23" s="60" t="n">
        <f aca="false">People!AB33</f>
        <v>147990.74103</v>
      </c>
    </row>
    <row r="24" customFormat="false" ht="15" hidden="false" customHeight="false" outlineLevel="0" collapsed="false">
      <c r="A24" s="28" t="s">
        <v>393</v>
      </c>
      <c r="B24" s="58" t="s">
        <v>77</v>
      </c>
      <c r="C24" s="59" t="n">
        <f aca="false">P24</f>
        <v>0</v>
      </c>
      <c r="D24" s="59" t="n">
        <f aca="false">AB24</f>
        <v>0</v>
      </c>
      <c r="E24" s="60" t="n">
        <f aca="false">Financing!E20</f>
        <v>0</v>
      </c>
      <c r="F24" s="60" t="n">
        <f aca="false">Financing!F20</f>
        <v>0</v>
      </c>
      <c r="G24" s="60" t="n">
        <f aca="false">Financing!G20</f>
        <v>0</v>
      </c>
      <c r="H24" s="60" t="n">
        <f aca="false">Financing!H20</f>
        <v>0</v>
      </c>
      <c r="I24" s="60" t="n">
        <f aca="false">Financing!I20</f>
        <v>0</v>
      </c>
      <c r="J24" s="60" t="n">
        <f aca="false">Financing!J20</f>
        <v>78974.36</v>
      </c>
      <c r="K24" s="60" t="n">
        <f aca="false">Financing!K20</f>
        <v>0</v>
      </c>
      <c r="L24" s="60" t="n">
        <f aca="false">Financing!L20</f>
        <v>0</v>
      </c>
      <c r="M24" s="60" t="n">
        <f aca="false">Financing!M20</f>
        <v>0</v>
      </c>
      <c r="N24" s="60" t="n">
        <f aca="false">Financing!N20</f>
        <v>0</v>
      </c>
      <c r="O24" s="60" t="n">
        <f aca="false">Financing!O20</f>
        <v>0</v>
      </c>
      <c r="P24" s="60" t="n">
        <f aca="false">Financing!P20</f>
        <v>0</v>
      </c>
      <c r="Q24" s="60" t="n">
        <f aca="false">Financing!Q20</f>
        <v>0</v>
      </c>
      <c r="R24" s="60" t="n">
        <f aca="false">Financing!R20</f>
        <v>0</v>
      </c>
      <c r="S24" s="60" t="n">
        <f aca="false">Financing!S20</f>
        <v>0</v>
      </c>
      <c r="T24" s="60" t="n">
        <f aca="false">Financing!T20</f>
        <v>0</v>
      </c>
      <c r="U24" s="60" t="n">
        <f aca="false">Financing!U20</f>
        <v>0</v>
      </c>
      <c r="V24" s="60" t="n">
        <f aca="false">Financing!V20</f>
        <v>60426.4247098848</v>
      </c>
      <c r="W24" s="60" t="n">
        <f aca="false">Financing!W20</f>
        <v>0</v>
      </c>
      <c r="X24" s="60" t="n">
        <f aca="false">Financing!X20</f>
        <v>0</v>
      </c>
      <c r="Y24" s="60" t="n">
        <f aca="false">Financing!Y20</f>
        <v>0</v>
      </c>
      <c r="Z24" s="60" t="n">
        <f aca="false">Financing!Z20</f>
        <v>0</v>
      </c>
      <c r="AA24" s="60" t="n">
        <f aca="false">Financing!AA20</f>
        <v>0</v>
      </c>
      <c r="AB24" s="60" t="n">
        <f aca="false">Financing!AB20</f>
        <v>0</v>
      </c>
    </row>
    <row r="25" customFormat="false" ht="15" hidden="false" customHeight="false" outlineLevel="0" collapsed="false">
      <c r="A25" s="28" t="s">
        <v>394</v>
      </c>
      <c r="B25" s="58" t="s">
        <v>77</v>
      </c>
      <c r="C25" s="59" t="n">
        <f aca="false">P25</f>
        <v>36000</v>
      </c>
      <c r="D25" s="59" t="n">
        <f aca="false">AB25</f>
        <v>36000</v>
      </c>
      <c r="E25" s="60" t="n">
        <f aca="false">Financing!E13</f>
        <v>36000</v>
      </c>
      <c r="F25" s="60" t="n">
        <f aca="false">Financing!F13</f>
        <v>36000</v>
      </c>
      <c r="G25" s="60" t="n">
        <f aca="false">Financing!G13</f>
        <v>36000</v>
      </c>
      <c r="H25" s="60" t="n">
        <f aca="false">Financing!H13</f>
        <v>36000</v>
      </c>
      <c r="I25" s="60" t="n">
        <f aca="false">Financing!I13</f>
        <v>36000</v>
      </c>
      <c r="J25" s="60" t="n">
        <f aca="false">Financing!J13</f>
        <v>36000</v>
      </c>
      <c r="K25" s="60" t="n">
        <f aca="false">Financing!K13</f>
        <v>36000</v>
      </c>
      <c r="L25" s="60" t="n">
        <f aca="false">Financing!L13</f>
        <v>36000</v>
      </c>
      <c r="M25" s="60" t="n">
        <f aca="false">Financing!M13</f>
        <v>36000</v>
      </c>
      <c r="N25" s="60" t="n">
        <f aca="false">Financing!N13</f>
        <v>36000</v>
      </c>
      <c r="O25" s="60" t="n">
        <f aca="false">Financing!O13</f>
        <v>36000</v>
      </c>
      <c r="P25" s="60" t="n">
        <f aca="false">Financing!P13</f>
        <v>36000</v>
      </c>
      <c r="Q25" s="60" t="n">
        <f aca="false">Financing!Q13</f>
        <v>36000</v>
      </c>
      <c r="R25" s="60" t="n">
        <f aca="false">Financing!R13</f>
        <v>36000</v>
      </c>
      <c r="S25" s="60" t="n">
        <f aca="false">Financing!S13</f>
        <v>36000</v>
      </c>
      <c r="T25" s="60" t="n">
        <f aca="false">Financing!T13</f>
        <v>36000</v>
      </c>
      <c r="U25" s="60" t="n">
        <f aca="false">Financing!U13</f>
        <v>36000</v>
      </c>
      <c r="V25" s="60" t="n">
        <f aca="false">Financing!V13</f>
        <v>36000</v>
      </c>
      <c r="W25" s="60" t="n">
        <f aca="false">Financing!W13</f>
        <v>36000</v>
      </c>
      <c r="X25" s="60" t="n">
        <f aca="false">Financing!X13</f>
        <v>36000</v>
      </c>
      <c r="Y25" s="60" t="n">
        <f aca="false">Financing!Y13</f>
        <v>36000</v>
      </c>
      <c r="Z25" s="60" t="n">
        <f aca="false">Financing!Z13</f>
        <v>36000</v>
      </c>
      <c r="AA25" s="60" t="n">
        <f aca="false">Financing!AA13</f>
        <v>36000</v>
      </c>
      <c r="AB25" s="60" t="n">
        <f aca="false">Financing!AB13</f>
        <v>36000</v>
      </c>
    </row>
    <row r="26" customFormat="false" ht="15" hidden="false" customHeight="false" outlineLevel="0" collapsed="false">
      <c r="A26" s="28" t="s">
        <v>395</v>
      </c>
      <c r="B26" s="58" t="s">
        <v>77</v>
      </c>
      <c r="C26" s="59" t="n">
        <f aca="false">P26</f>
        <v>36000</v>
      </c>
      <c r="D26" s="59" t="n">
        <f aca="false">AB26</f>
        <v>0</v>
      </c>
      <c r="E26" s="60" t="n">
        <f aca="false">Financing!E14</f>
        <v>69000</v>
      </c>
      <c r="F26" s="60" t="n">
        <f aca="false">Financing!F14</f>
        <v>66000</v>
      </c>
      <c r="G26" s="60" t="n">
        <f aca="false">Financing!G14</f>
        <v>63000</v>
      </c>
      <c r="H26" s="60" t="n">
        <f aca="false">Financing!H14</f>
        <v>60000</v>
      </c>
      <c r="I26" s="60" t="n">
        <f aca="false">Financing!I14</f>
        <v>57000</v>
      </c>
      <c r="J26" s="60" t="n">
        <f aca="false">Financing!J14</f>
        <v>54000</v>
      </c>
      <c r="K26" s="60" t="n">
        <f aca="false">Financing!K14</f>
        <v>51000</v>
      </c>
      <c r="L26" s="60" t="n">
        <f aca="false">Financing!L14</f>
        <v>48000</v>
      </c>
      <c r="M26" s="60" t="n">
        <f aca="false">Financing!M14</f>
        <v>45000</v>
      </c>
      <c r="N26" s="60" t="n">
        <f aca="false">Financing!N14</f>
        <v>42000</v>
      </c>
      <c r="O26" s="60" t="n">
        <f aca="false">Financing!O14</f>
        <v>39000</v>
      </c>
      <c r="P26" s="60" t="n">
        <f aca="false">Financing!P14</f>
        <v>36000</v>
      </c>
      <c r="Q26" s="60" t="n">
        <f aca="false">Financing!Q14</f>
        <v>33000</v>
      </c>
      <c r="R26" s="60" t="n">
        <f aca="false">Financing!R14</f>
        <v>30000</v>
      </c>
      <c r="S26" s="60" t="n">
        <f aca="false">Financing!S14</f>
        <v>27000</v>
      </c>
      <c r="T26" s="60" t="n">
        <f aca="false">Financing!T14</f>
        <v>24000</v>
      </c>
      <c r="U26" s="60" t="n">
        <f aca="false">Financing!U14</f>
        <v>21000</v>
      </c>
      <c r="V26" s="60" t="n">
        <f aca="false">Financing!V14</f>
        <v>18000</v>
      </c>
      <c r="W26" s="60" t="n">
        <f aca="false">Financing!W14</f>
        <v>15000</v>
      </c>
      <c r="X26" s="60" t="n">
        <f aca="false">Financing!X14</f>
        <v>12000</v>
      </c>
      <c r="Y26" s="60" t="n">
        <f aca="false">Financing!Y14</f>
        <v>9000</v>
      </c>
      <c r="Z26" s="60" t="n">
        <f aca="false">Financing!Z14</f>
        <v>6000</v>
      </c>
      <c r="AA26" s="60" t="n">
        <f aca="false">Financing!AA14</f>
        <v>3000</v>
      </c>
      <c r="AB26" s="60" t="n">
        <f aca="false">Financing!AB14</f>
        <v>0</v>
      </c>
    </row>
    <row r="27" customFormat="false" ht="15" hidden="false" customHeight="false" outlineLevel="0" collapsed="false">
      <c r="A27" s="68" t="s">
        <v>396</v>
      </c>
      <c r="B27" s="69"/>
      <c r="C27" s="70" t="n">
        <f aca="false">P27</f>
        <v>616485.570370023</v>
      </c>
      <c r="D27" s="70" t="n">
        <f aca="false">AB27</f>
        <v>583793.790597982</v>
      </c>
      <c r="E27" s="70" t="n">
        <f aca="false">E16+E17+E18+E19+E20+E21+E22+E23+E24+E25+E26</f>
        <v>627418.726934258</v>
      </c>
      <c r="F27" s="70" t="n">
        <f aca="false">F16+F17+F18+F19+F20+F21+F22+F23+F24+F25+F26</f>
        <v>650919.139542798</v>
      </c>
      <c r="G27" s="70" t="n">
        <f aca="false">G16+G17+G18+G19+G20+G21+G22+G23+G24+G25+G26</f>
        <v>606462.417504004</v>
      </c>
      <c r="H27" s="70" t="n">
        <f aca="false">H16+H17+H18+H19+H20+H21+H22+H23+H24+H25+H26</f>
        <v>600365.636947967</v>
      </c>
      <c r="I27" s="70" t="n">
        <f aca="false">I16+I17+I18+I19+I20+I21+I22+I23+I24+I25+I26</f>
        <v>564143.638647589</v>
      </c>
      <c r="J27" s="70" t="n">
        <f aca="false">J16+J17+J18+J19+J20+J21+J22+J23+J24+J25+J26</f>
        <v>618969.15879585</v>
      </c>
      <c r="K27" s="70" t="n">
        <f aca="false">K16+K17+K18+K19+K20+K21+K22+K23+K24+K25+K26</f>
        <v>606091.806896412</v>
      </c>
      <c r="L27" s="70" t="n">
        <f aca="false">L16+L17+L18+L19+L20+L21+L22+L23+L24+L25+L26</f>
        <v>577724.257707298</v>
      </c>
      <c r="M27" s="70" t="n">
        <f aca="false">M16+M17+M18+M19+M20+M21+M22+M23+M24+M25+M26</f>
        <v>561607.11597994</v>
      </c>
      <c r="N27" s="70" t="n">
        <f aca="false">N16+N17+N18+N19+N20+N21+N22+N23+N24+N25+N26</f>
        <v>654104.773714821</v>
      </c>
      <c r="O27" s="70" t="n">
        <f aca="false">O16+O17+O18+O19+O20+O21+O22+O23+O24+O25+O26</f>
        <v>698447.220373864</v>
      </c>
      <c r="P27" s="70" t="n">
        <f aca="false">P16+P17+P18+P19+P20+P21+P22+P23+P24+P25+P26</f>
        <v>616485.570370023</v>
      </c>
      <c r="Q27" s="70" t="n">
        <f aca="false">Q16+Q17+Q18+Q19+Q20+Q21+Q22+Q23+Q24+Q25+Q26</f>
        <v>646532.848192005</v>
      </c>
      <c r="R27" s="70" t="n">
        <f aca="false">R16+R17+R18+R19+R20+R21+R22+R23+R24+R25+R26</f>
        <v>609233.938570033</v>
      </c>
      <c r="S27" s="70" t="n">
        <f aca="false">S16+S17+S18+S19+S20+S21+S22+S23+S24+S25+S26</f>
        <v>527620.729418404</v>
      </c>
      <c r="T27" s="70" t="n">
        <f aca="false">T16+T17+T18+T19+T20+T21+T22+T23+T24+T25+T26</f>
        <v>527957.124703605</v>
      </c>
      <c r="U27" s="70" t="n">
        <f aca="false">U16+U17+U18+U19+U20+U21+U22+U23+U24+U25+U26</f>
        <v>518523.311329783</v>
      </c>
      <c r="V27" s="70" t="n">
        <f aca="false">V16+V17+V18+V19+V20+V21+V22+V23+V24+V25+V26</f>
        <v>544752.648268632</v>
      </c>
      <c r="W27" s="70" t="n">
        <f aca="false">W16+W17+W18+W19+W20+W21+W22+W23+W24+W25+W26</f>
        <v>528717.457611179</v>
      </c>
      <c r="X27" s="70" t="n">
        <f aca="false">X16+X17+X18+X19+X20+X21+X22+X23+X24+X25+X26</f>
        <v>506023.764512572</v>
      </c>
      <c r="Y27" s="70" t="n">
        <f aca="false">Y16+Y17+Y18+Y19+Y20+Y21+Y22+Y23+Y24+Y25+Y26</f>
        <v>516050.70790254</v>
      </c>
      <c r="Z27" s="70" t="n">
        <f aca="false">Z16+Z17+Z18+Z19+Z20+Z21+Z22+Z23+Z24+Z25+Z26</f>
        <v>595558.634098525</v>
      </c>
      <c r="AA27" s="70" t="n">
        <f aca="false">AA16+AA17+AA18+AA19+AA20+AA21+AA22+AA23+AA24+AA25+AA26</f>
        <v>627653.786779988</v>
      </c>
      <c r="AB27" s="70" t="n">
        <f aca="false">AB16+AB17+AB18+AB19+AB20+AB21+AB22+AB23+AB24+AB25+AB26</f>
        <v>583793.790597982</v>
      </c>
    </row>
    <row r="28" customFormat="false" ht="15" hidden="false" customHeight="false" outlineLevel="0" collapsed="false">
      <c r="A28" s="22" t="s">
        <v>397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398</v>
      </c>
      <c r="B29" s="58" t="s">
        <v>399</v>
      </c>
      <c r="C29" s="59" t="n">
        <f aca="false">P29</f>
        <v>2600</v>
      </c>
      <c r="D29" s="59" t="n">
        <f aca="false">AB29</f>
        <v>2600</v>
      </c>
      <c r="E29" s="60" t="n">
        <f aca="false">Inputs_Actuals!$C$194</f>
        <v>2600</v>
      </c>
      <c r="F29" s="71" t="n">
        <f aca="false">E29</f>
        <v>2600</v>
      </c>
      <c r="G29" s="71" t="n">
        <f aca="false">F29</f>
        <v>2600</v>
      </c>
      <c r="H29" s="71" t="n">
        <f aca="false">G29</f>
        <v>2600</v>
      </c>
      <c r="I29" s="71" t="n">
        <f aca="false">H29</f>
        <v>2600</v>
      </c>
      <c r="J29" s="71" t="n">
        <f aca="false">I29</f>
        <v>2600</v>
      </c>
      <c r="K29" s="71" t="n">
        <f aca="false">J29</f>
        <v>2600</v>
      </c>
      <c r="L29" s="71" t="n">
        <f aca="false">K29</f>
        <v>2600</v>
      </c>
      <c r="M29" s="71" t="n">
        <f aca="false">L29</f>
        <v>2600</v>
      </c>
      <c r="N29" s="71" t="n">
        <f aca="false">M29</f>
        <v>2600</v>
      </c>
      <c r="O29" s="71" t="n">
        <f aca="false">N29</f>
        <v>2600</v>
      </c>
      <c r="P29" s="71" t="n">
        <f aca="false">O29</f>
        <v>2600</v>
      </c>
      <c r="Q29" s="71" t="n">
        <f aca="false">P29</f>
        <v>2600</v>
      </c>
      <c r="R29" s="71" t="n">
        <f aca="false">Q29</f>
        <v>2600</v>
      </c>
      <c r="S29" s="71" t="n">
        <f aca="false">R29</f>
        <v>2600</v>
      </c>
      <c r="T29" s="71" t="n">
        <f aca="false">S29</f>
        <v>2600</v>
      </c>
      <c r="U29" s="71" t="n">
        <f aca="false">T29</f>
        <v>2600</v>
      </c>
      <c r="V29" s="71" t="n">
        <f aca="false">U29</f>
        <v>2600</v>
      </c>
      <c r="W29" s="71" t="n">
        <f aca="false">V29</f>
        <v>2600</v>
      </c>
      <c r="X29" s="71" t="n">
        <f aca="false">W29</f>
        <v>2600</v>
      </c>
      <c r="Y29" s="71" t="n">
        <f aca="false">X29</f>
        <v>2600</v>
      </c>
      <c r="Z29" s="71" t="n">
        <f aca="false">Y29</f>
        <v>2600</v>
      </c>
      <c r="AA29" s="71" t="n">
        <f aca="false">Z29</f>
        <v>2600</v>
      </c>
      <c r="AB29" s="71" t="n">
        <f aca="false">AA29</f>
        <v>2600</v>
      </c>
    </row>
    <row r="30" customFormat="false" ht="15" hidden="false" customHeight="false" outlineLevel="0" collapsed="false">
      <c r="A30" s="28" t="s">
        <v>400</v>
      </c>
      <c r="B30" s="58"/>
      <c r="E30" s="60" t="n">
        <f aca="false">Inputs_Actuals!$C$195</f>
        <v>775512.01</v>
      </c>
      <c r="F30" s="71" t="n">
        <f aca="false">E33</f>
        <v>793454.356412473</v>
      </c>
      <c r="G30" s="71" t="n">
        <f aca="false">F33</f>
        <v>784864.208701587</v>
      </c>
      <c r="H30" s="71" t="n">
        <f aca="false">G33</f>
        <v>794148.244414107</v>
      </c>
      <c r="I30" s="71" t="n">
        <f aca="false">H33</f>
        <v>815837.920346865</v>
      </c>
      <c r="J30" s="71" t="n">
        <f aca="false">I33</f>
        <v>863631.183844437</v>
      </c>
      <c r="K30" s="71" t="n">
        <f aca="false">J33</f>
        <v>572855.044038569</v>
      </c>
      <c r="L30" s="71" t="n">
        <f aca="false">K33</f>
        <v>601647.516562672</v>
      </c>
      <c r="M30" s="71" t="n">
        <f aca="false">L33</f>
        <v>676357.868165677</v>
      </c>
      <c r="N30" s="71" t="n">
        <f aca="false">M33</f>
        <v>779008.184357952</v>
      </c>
      <c r="O30" s="71" t="n">
        <f aca="false">N33</f>
        <v>856942.704156763</v>
      </c>
      <c r="P30" s="71" t="n">
        <f aca="false">O33</f>
        <v>908494.504987514</v>
      </c>
      <c r="Q30" s="71" t="n">
        <f aca="false">P33</f>
        <v>923990.294306455</v>
      </c>
      <c r="R30" s="71" t="n">
        <f aca="false">Q33</f>
        <v>929622.314097897</v>
      </c>
      <c r="S30" s="71" t="n">
        <f aca="false">R33</f>
        <v>963234.405228643</v>
      </c>
      <c r="T30" s="71" t="n">
        <f aca="false">S33</f>
        <v>1018930.47266665</v>
      </c>
      <c r="U30" s="71" t="n">
        <f aca="false">T33</f>
        <v>1077267.4846864</v>
      </c>
      <c r="V30" s="71" t="n">
        <f aca="false">U33</f>
        <v>1139026.48875368</v>
      </c>
      <c r="W30" s="71" t="n">
        <f aca="false">V33</f>
        <v>914379.697571209</v>
      </c>
      <c r="X30" s="71" t="n">
        <f aca="false">W33</f>
        <v>938511.43316569</v>
      </c>
      <c r="Y30" s="71" t="n">
        <f aca="false">X33</f>
        <v>973410.016064376</v>
      </c>
      <c r="Z30" s="71" t="n">
        <f aca="false">Y33</f>
        <v>996858.706357274</v>
      </c>
      <c r="AA30" s="71" t="n">
        <f aca="false">Z33</f>
        <v>1034218.81492684</v>
      </c>
      <c r="AB30" s="71" t="n">
        <f aca="false">AA33</f>
        <v>1072880.10762123</v>
      </c>
    </row>
    <row r="31" customFormat="false" ht="15" hidden="false" customHeight="false" outlineLevel="0" collapsed="false">
      <c r="A31" s="28" t="s">
        <v>401</v>
      </c>
      <c r="B31" s="58" t="s">
        <v>30</v>
      </c>
      <c r="C31" s="59" t="n">
        <f aca="false">SUM(E31:P31)</f>
        <v>428478.284306456</v>
      </c>
      <c r="D31" s="59" t="n">
        <f aca="false">SUM(Q31:AB31)</f>
        <v>377658.932121347</v>
      </c>
      <c r="E31" s="60" t="n">
        <f aca="false">PL!E49</f>
        <v>17942.3464124731</v>
      </c>
      <c r="F31" s="60" t="n">
        <f aca="false">PL!F49</f>
        <v>-8590.1477108857</v>
      </c>
      <c r="G31" s="60" t="n">
        <f aca="false">PL!G49</f>
        <v>9284.03571251929</v>
      </c>
      <c r="H31" s="60" t="n">
        <f aca="false">PL!H49</f>
        <v>21689.6759327581</v>
      </c>
      <c r="I31" s="60" t="n">
        <f aca="false">PL!I49</f>
        <v>47793.2634975723</v>
      </c>
      <c r="J31" s="60" t="n">
        <f aca="false">PL!J49</f>
        <v>-10776.1398058677</v>
      </c>
      <c r="K31" s="60" t="n">
        <f aca="false">PL!K49</f>
        <v>28792.4725241023</v>
      </c>
      <c r="L31" s="60" t="n">
        <f aca="false">PL!L49</f>
        <v>74710.3516030057</v>
      </c>
      <c r="M31" s="60" t="n">
        <f aca="false">PL!M49</f>
        <v>102650.316192274</v>
      </c>
      <c r="N31" s="60" t="n">
        <f aca="false">PL!N49</f>
        <v>77934.5197988111</v>
      </c>
      <c r="O31" s="60" t="n">
        <f aca="false">PL!O49</f>
        <v>51551.800830751</v>
      </c>
      <c r="P31" s="60" t="n">
        <f aca="false">PL!P49</f>
        <v>15495.7893189415</v>
      </c>
      <c r="Q31" s="60" t="n">
        <f aca="false">PL!Q49</f>
        <v>5632.0197914419</v>
      </c>
      <c r="R31" s="60" t="n">
        <f aca="false">PL!R49</f>
        <v>33612.0911307461</v>
      </c>
      <c r="S31" s="60" t="n">
        <f aca="false">PL!S49</f>
        <v>55696.0674380079</v>
      </c>
      <c r="T31" s="60" t="n">
        <f aca="false">PL!T49</f>
        <v>58337.0120197435</v>
      </c>
      <c r="U31" s="60" t="n">
        <f aca="false">PL!U49</f>
        <v>61759.0040672862</v>
      </c>
      <c r="V31" s="60" t="n">
        <f aca="false">PL!V49</f>
        <v>-10407.6490292442</v>
      </c>
      <c r="W31" s="60" t="n">
        <f aca="false">PL!W49</f>
        <v>24131.7355944803</v>
      </c>
      <c r="X31" s="60" t="n">
        <f aca="false">PL!X49</f>
        <v>34898.5828986867</v>
      </c>
      <c r="Y31" s="60" t="n">
        <f aca="false">PL!Y49</f>
        <v>23448.6902928983</v>
      </c>
      <c r="Z31" s="60" t="n">
        <f aca="false">PL!Z49</f>
        <v>37360.108569563</v>
      </c>
      <c r="AA31" s="60" t="n">
        <f aca="false">PL!AA49</f>
        <v>38661.2926943938</v>
      </c>
      <c r="AB31" s="60" t="n">
        <f aca="false">PL!AB49</f>
        <v>14529.9766533429</v>
      </c>
    </row>
    <row r="32" customFormat="false" ht="15" hidden="false" customHeight="false" outlineLevel="0" collapsed="false">
      <c r="A32" s="28" t="s">
        <v>402</v>
      </c>
      <c r="B32" s="58" t="s">
        <v>77</v>
      </c>
      <c r="C32" s="59" t="n">
        <f aca="false">SUM(E32:P32)</f>
        <v>280000</v>
      </c>
      <c r="D32" s="59" t="n">
        <f aca="false">SUM(Q32:AB32)</f>
        <v>214239.142153228</v>
      </c>
      <c r="E32" s="60" t="n">
        <f aca="false">Financing!E16</f>
        <v>0</v>
      </c>
      <c r="F32" s="60" t="n">
        <f aca="false">Financing!F16</f>
        <v>0</v>
      </c>
      <c r="G32" s="60" t="n">
        <f aca="false">Financing!G16</f>
        <v>0</v>
      </c>
      <c r="H32" s="60" t="n">
        <f aca="false">Financing!H16</f>
        <v>0</v>
      </c>
      <c r="I32" s="60" t="n">
        <f aca="false">Financing!I16</f>
        <v>0</v>
      </c>
      <c r="J32" s="60" t="n">
        <f aca="false">Financing!J16</f>
        <v>280000</v>
      </c>
      <c r="K32" s="60" t="n">
        <f aca="false">Financing!K16</f>
        <v>0</v>
      </c>
      <c r="L32" s="60" t="n">
        <f aca="false">Financing!L16</f>
        <v>0</v>
      </c>
      <c r="M32" s="60" t="n">
        <f aca="false">Financing!M16</f>
        <v>0</v>
      </c>
      <c r="N32" s="60" t="n">
        <f aca="false">Financing!N16</f>
        <v>0</v>
      </c>
      <c r="O32" s="60" t="n">
        <f aca="false">Financing!O16</f>
        <v>0</v>
      </c>
      <c r="P32" s="60" t="n">
        <f aca="false">Financing!P16</f>
        <v>0</v>
      </c>
      <c r="Q32" s="60" t="n">
        <f aca="false">Financing!Q16</f>
        <v>0</v>
      </c>
      <c r="R32" s="60" t="n">
        <f aca="false">Financing!R16</f>
        <v>0</v>
      </c>
      <c r="S32" s="60" t="n">
        <f aca="false">Financing!S16</f>
        <v>0</v>
      </c>
      <c r="T32" s="60" t="n">
        <f aca="false">Financing!T16</f>
        <v>0</v>
      </c>
      <c r="U32" s="60" t="n">
        <f aca="false">Financing!U16</f>
        <v>0</v>
      </c>
      <c r="V32" s="60" t="n">
        <f aca="false">Financing!V16</f>
        <v>214239.142153228</v>
      </c>
      <c r="W32" s="60" t="n">
        <f aca="false">Financing!W16</f>
        <v>0</v>
      </c>
      <c r="X32" s="60" t="n">
        <f aca="false">Financing!X16</f>
        <v>0</v>
      </c>
      <c r="Y32" s="60" t="n">
        <f aca="false">Financing!Y16</f>
        <v>0</v>
      </c>
      <c r="Z32" s="60" t="n">
        <f aca="false">Financing!Z16</f>
        <v>0</v>
      </c>
      <c r="AA32" s="60" t="n">
        <f aca="false">Financing!AA16</f>
        <v>0</v>
      </c>
      <c r="AB32" s="60" t="n">
        <f aca="false">Financing!AB16</f>
        <v>0</v>
      </c>
    </row>
    <row r="33" customFormat="false" ht="15" hidden="false" customHeight="false" outlineLevel="0" collapsed="false">
      <c r="A33" s="28" t="s">
        <v>403</v>
      </c>
      <c r="B33" s="58"/>
      <c r="C33" s="59" t="n">
        <f aca="false">P33</f>
        <v>923990.294306455</v>
      </c>
      <c r="D33" s="59" t="n">
        <f aca="false">AB33</f>
        <v>1087410.08427457</v>
      </c>
      <c r="E33" s="71" t="n">
        <f aca="false">E30+E31-E32</f>
        <v>793454.356412473</v>
      </c>
      <c r="F33" s="71" t="n">
        <f aca="false">F30+F31-F32</f>
        <v>784864.208701587</v>
      </c>
      <c r="G33" s="71" t="n">
        <f aca="false">G30+G31-G32</f>
        <v>794148.244414107</v>
      </c>
      <c r="H33" s="71" t="n">
        <f aca="false">H30+H31-H32</f>
        <v>815837.920346865</v>
      </c>
      <c r="I33" s="71" t="n">
        <f aca="false">I30+I31-I32</f>
        <v>863631.183844437</v>
      </c>
      <c r="J33" s="71" t="n">
        <f aca="false">J30+J31-J32</f>
        <v>572855.044038569</v>
      </c>
      <c r="K33" s="71" t="n">
        <f aca="false">K30+K31-K32</f>
        <v>601647.516562672</v>
      </c>
      <c r="L33" s="71" t="n">
        <f aca="false">L30+L31-L32</f>
        <v>676357.868165677</v>
      </c>
      <c r="M33" s="71" t="n">
        <f aca="false">M30+M31-M32</f>
        <v>779008.184357952</v>
      </c>
      <c r="N33" s="71" t="n">
        <f aca="false">N30+N31-N32</f>
        <v>856942.704156763</v>
      </c>
      <c r="O33" s="71" t="n">
        <f aca="false">O30+O31-O32</f>
        <v>908494.504987514</v>
      </c>
      <c r="P33" s="71" t="n">
        <f aca="false">P30+P31-P32</f>
        <v>923990.294306455</v>
      </c>
      <c r="Q33" s="71" t="n">
        <f aca="false">Q30+Q31-Q32</f>
        <v>929622.314097897</v>
      </c>
      <c r="R33" s="71" t="n">
        <f aca="false">R30+R31-R32</f>
        <v>963234.405228643</v>
      </c>
      <c r="S33" s="71" t="n">
        <f aca="false">S30+S31-S32</f>
        <v>1018930.47266665</v>
      </c>
      <c r="T33" s="71" t="n">
        <f aca="false">T30+T31-T32</f>
        <v>1077267.4846864</v>
      </c>
      <c r="U33" s="71" t="n">
        <f aca="false">U30+U31-U32</f>
        <v>1139026.48875368</v>
      </c>
      <c r="V33" s="71" t="n">
        <f aca="false">V30+V31-V32</f>
        <v>914379.697571209</v>
      </c>
      <c r="W33" s="71" t="n">
        <f aca="false">W30+W31-W32</f>
        <v>938511.43316569</v>
      </c>
      <c r="X33" s="71" t="n">
        <f aca="false">X30+X31-X32</f>
        <v>973410.016064376</v>
      </c>
      <c r="Y33" s="71" t="n">
        <f aca="false">Y30+Y31-Y32</f>
        <v>996858.706357274</v>
      </c>
      <c r="Z33" s="71" t="n">
        <f aca="false">Z30+Z31-Z32</f>
        <v>1034218.81492684</v>
      </c>
      <c r="AA33" s="71" t="n">
        <f aca="false">AA30+AA31-AA32</f>
        <v>1072880.10762123</v>
      </c>
      <c r="AB33" s="71" t="n">
        <f aca="false">AB30+AB31-AB32</f>
        <v>1087410.08427457</v>
      </c>
    </row>
    <row r="34" customFormat="false" ht="15" hidden="false" customHeight="false" outlineLevel="0" collapsed="false">
      <c r="A34" s="68" t="s">
        <v>404</v>
      </c>
      <c r="B34" s="69"/>
      <c r="C34" s="70" t="n">
        <f aca="false">P34</f>
        <v>926590.294306455</v>
      </c>
      <c r="D34" s="70" t="n">
        <f aca="false">AB34</f>
        <v>1090010.08427457</v>
      </c>
      <c r="E34" s="70" t="n">
        <f aca="false">E29+E33</f>
        <v>796054.356412473</v>
      </c>
      <c r="F34" s="70" t="n">
        <f aca="false">F29+F33</f>
        <v>787464.208701587</v>
      </c>
      <c r="G34" s="70" t="n">
        <f aca="false">G29+G33</f>
        <v>796748.244414107</v>
      </c>
      <c r="H34" s="70" t="n">
        <f aca="false">H29+H33</f>
        <v>818437.920346865</v>
      </c>
      <c r="I34" s="70" t="n">
        <f aca="false">I29+I33</f>
        <v>866231.183844437</v>
      </c>
      <c r="J34" s="70" t="n">
        <f aca="false">J29+J33</f>
        <v>575455.044038569</v>
      </c>
      <c r="K34" s="70" t="n">
        <f aca="false">K29+K33</f>
        <v>604247.516562672</v>
      </c>
      <c r="L34" s="70" t="n">
        <f aca="false">L29+L33</f>
        <v>678957.868165677</v>
      </c>
      <c r="M34" s="70" t="n">
        <f aca="false">M29+M33</f>
        <v>781608.184357952</v>
      </c>
      <c r="N34" s="70" t="n">
        <f aca="false">N29+N33</f>
        <v>859542.704156763</v>
      </c>
      <c r="O34" s="70" t="n">
        <f aca="false">O29+O33</f>
        <v>911094.504987514</v>
      </c>
      <c r="P34" s="70" t="n">
        <f aca="false">P29+P33</f>
        <v>926590.294306455</v>
      </c>
      <c r="Q34" s="70" t="n">
        <f aca="false">Q29+Q33</f>
        <v>932222.314097897</v>
      </c>
      <c r="R34" s="70" t="n">
        <f aca="false">R29+R33</f>
        <v>965834.405228643</v>
      </c>
      <c r="S34" s="70" t="n">
        <f aca="false">S29+S33</f>
        <v>1021530.47266665</v>
      </c>
      <c r="T34" s="70" t="n">
        <f aca="false">T29+T33</f>
        <v>1079867.4846864</v>
      </c>
      <c r="U34" s="70" t="n">
        <f aca="false">U29+U33</f>
        <v>1141626.48875368</v>
      </c>
      <c r="V34" s="70" t="n">
        <f aca="false">V29+V33</f>
        <v>916979.697571209</v>
      </c>
      <c r="W34" s="70" t="n">
        <f aca="false">W29+W33</f>
        <v>941111.43316569</v>
      </c>
      <c r="X34" s="70" t="n">
        <f aca="false">X29+X33</f>
        <v>976010.016064376</v>
      </c>
      <c r="Y34" s="70" t="n">
        <f aca="false">Y29+Y33</f>
        <v>999458.706357274</v>
      </c>
      <c r="Z34" s="70" t="n">
        <f aca="false">Z29+Z33</f>
        <v>1036818.81492684</v>
      </c>
      <c r="AA34" s="70" t="n">
        <f aca="false">AA29+AA33</f>
        <v>1075480.10762123</v>
      </c>
      <c r="AB34" s="70" t="n">
        <f aca="false">AB29+AB33</f>
        <v>1090010.08427457</v>
      </c>
    </row>
    <row r="35" customFormat="false" ht="15" hidden="false" customHeight="false" outlineLevel="0" collapsed="false">
      <c r="A35" s="68" t="s">
        <v>405</v>
      </c>
      <c r="B35" s="69"/>
      <c r="C35" s="70" t="n">
        <f aca="false">P35</f>
        <v>1543075.86467648</v>
      </c>
      <c r="D35" s="70" t="n">
        <f aca="false">AB35</f>
        <v>1673803.87487256</v>
      </c>
      <c r="E35" s="70" t="n">
        <f aca="false">E27+E34</f>
        <v>1423473.08334673</v>
      </c>
      <c r="F35" s="70" t="n">
        <f aca="false">F27+F34</f>
        <v>1438383.34824439</v>
      </c>
      <c r="G35" s="70" t="n">
        <f aca="false">G27+G34</f>
        <v>1403210.66191811</v>
      </c>
      <c r="H35" s="70" t="n">
        <f aca="false">H27+H34</f>
        <v>1418803.55729483</v>
      </c>
      <c r="I35" s="70" t="n">
        <f aca="false">I27+I34</f>
        <v>1430374.82249203</v>
      </c>
      <c r="J35" s="70" t="n">
        <f aca="false">J27+J34</f>
        <v>1194424.20283442</v>
      </c>
      <c r="K35" s="70" t="n">
        <f aca="false">K27+K34</f>
        <v>1210339.32345908</v>
      </c>
      <c r="L35" s="70" t="n">
        <f aca="false">L27+L34</f>
        <v>1256682.12587297</v>
      </c>
      <c r="M35" s="70" t="n">
        <f aca="false">M27+M34</f>
        <v>1343215.30033789</v>
      </c>
      <c r="N35" s="70" t="n">
        <f aca="false">N27+N34</f>
        <v>1513647.47787158</v>
      </c>
      <c r="O35" s="70" t="n">
        <f aca="false">O27+O34</f>
        <v>1609541.72536138</v>
      </c>
      <c r="P35" s="70" t="n">
        <f aca="false">P27+P34</f>
        <v>1543075.86467648</v>
      </c>
      <c r="Q35" s="70" t="n">
        <f aca="false">Q27+Q34</f>
        <v>1578755.1622899</v>
      </c>
      <c r="R35" s="70" t="n">
        <f aca="false">R27+R34</f>
        <v>1575068.34379868</v>
      </c>
      <c r="S35" s="70" t="n">
        <f aca="false">S27+S34</f>
        <v>1549151.20208506</v>
      </c>
      <c r="T35" s="70" t="n">
        <f aca="false">T27+T34</f>
        <v>1607824.60939</v>
      </c>
      <c r="U35" s="70" t="n">
        <f aca="false">U27+U34</f>
        <v>1660149.80008346</v>
      </c>
      <c r="V35" s="70" t="n">
        <f aca="false">V27+V34</f>
        <v>1461732.34583984</v>
      </c>
      <c r="W35" s="70" t="n">
        <f aca="false">W27+W34</f>
        <v>1469828.89077687</v>
      </c>
      <c r="X35" s="70" t="n">
        <f aca="false">X27+X34</f>
        <v>1482033.78057695</v>
      </c>
      <c r="Y35" s="70" t="n">
        <f aca="false">Y27+Y34</f>
        <v>1515509.41425981</v>
      </c>
      <c r="Z35" s="70" t="n">
        <f aca="false">Z27+Z34</f>
        <v>1632377.44902536</v>
      </c>
      <c r="AA35" s="70" t="n">
        <f aca="false">AA27+AA34</f>
        <v>1703133.89440122</v>
      </c>
      <c r="AB35" s="70" t="n">
        <f aca="false">AB27+AB34</f>
        <v>1673803.87487256</v>
      </c>
    </row>
    <row r="36" customFormat="false" ht="15" hidden="false" customHeight="false" outlineLevel="0" collapsed="false">
      <c r="A36" s="68" t="s">
        <v>406</v>
      </c>
      <c r="B36" s="69"/>
      <c r="C36" s="70" t="n">
        <f aca="false">P36</f>
        <v>0</v>
      </c>
      <c r="D36" s="70" t="n">
        <f aca="false">AB36</f>
        <v>0</v>
      </c>
      <c r="E36" s="70" t="n">
        <f aca="false">ROUND(E14-E35,2)</f>
        <v>0</v>
      </c>
      <c r="F36" s="70" t="n">
        <f aca="false">ROUND(F14-F35,2)</f>
        <v>0</v>
      </c>
      <c r="G36" s="70" t="n">
        <f aca="false">ROUND(G14-G35,2)</f>
        <v>0</v>
      </c>
      <c r="H36" s="70" t="n">
        <f aca="false">ROUND(H14-H35,2)</f>
        <v>0</v>
      </c>
      <c r="I36" s="70" t="n">
        <f aca="false">ROUND(I14-I35,2)</f>
        <v>0</v>
      </c>
      <c r="J36" s="70" t="n">
        <f aca="false">ROUND(J14-J35,2)</f>
        <v>0</v>
      </c>
      <c r="K36" s="70" t="n">
        <f aca="false">ROUND(K14-K35,2)</f>
        <v>0</v>
      </c>
      <c r="L36" s="70" t="n">
        <f aca="false">ROUND(L14-L35,2)</f>
        <v>0</v>
      </c>
      <c r="M36" s="70" t="n">
        <f aca="false">ROUND(M14-M35,2)</f>
        <v>0</v>
      </c>
      <c r="N36" s="70" t="n">
        <f aca="false">ROUND(N14-N35,2)</f>
        <v>0</v>
      </c>
      <c r="O36" s="70" t="n">
        <f aca="false">ROUND(O14-O35,2)</f>
        <v>0</v>
      </c>
      <c r="P36" s="70" t="n">
        <f aca="false">ROUND(P14-P35,2)</f>
        <v>0</v>
      </c>
      <c r="Q36" s="70" t="n">
        <f aca="false">ROUND(Q14-Q35,2)</f>
        <v>0</v>
      </c>
      <c r="R36" s="70" t="n">
        <f aca="false">ROUND(R14-R35,2)</f>
        <v>0</v>
      </c>
      <c r="S36" s="70" t="n">
        <f aca="false">ROUND(S14-S35,2)</f>
        <v>0</v>
      </c>
      <c r="T36" s="70" t="n">
        <f aca="false">ROUND(T14-T35,2)</f>
        <v>0</v>
      </c>
      <c r="U36" s="70" t="n">
        <f aca="false">ROUND(U14-U35,2)</f>
        <v>0</v>
      </c>
      <c r="V36" s="70" t="n">
        <f aca="false">ROUND(V14-V35,2)</f>
        <v>0</v>
      </c>
      <c r="W36" s="70" t="n">
        <f aca="false">ROUND(W14-W35,2)</f>
        <v>0</v>
      </c>
      <c r="X36" s="70" t="n">
        <f aca="false">ROUND(X14-X35,2)</f>
        <v>0</v>
      </c>
      <c r="Y36" s="70" t="n">
        <f aca="false">ROUND(Y14-Y35,2)</f>
        <v>0</v>
      </c>
      <c r="Z36" s="70" t="n">
        <f aca="false">ROUND(Z14-Z35,2)</f>
        <v>0</v>
      </c>
      <c r="AA36" s="70" t="n">
        <f aca="false">ROUND(AA14-AA35,2)</f>
        <v>0</v>
      </c>
      <c r="AB36" s="70" t="n">
        <f aca="false">ROUND(AB14-AB35,2)</f>
        <v>0</v>
      </c>
    </row>
    <row r="37" customFormat="false" ht="15" hidden="false" customHeight="false" outlineLevel="0" collapsed="false">
      <c r="A37" s="22" t="s">
        <v>372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row>
    <row r="38" customFormat="false" ht="15" hidden="false" customHeight="false" outlineLevel="0" collapsed="false">
      <c r="A38" s="28" t="s">
        <v>407</v>
      </c>
      <c r="B38" s="58"/>
      <c r="C38" s="59" t="n">
        <f aca="false">P38</f>
        <v>510006.450161419</v>
      </c>
      <c r="D38" s="59" t="n">
        <f aca="false">AB38</f>
        <v>496609.17884078</v>
      </c>
      <c r="E38" s="71" t="n">
        <f aca="false">E10+E11+E12-E16-E17-E18-E19-E22</f>
        <v>502081.95912369</v>
      </c>
      <c r="F38" s="71" t="n">
        <f aca="false">F10+F11+F12-F16-F17-F18-F19-F22</f>
        <v>322489.179445822</v>
      </c>
      <c r="G38" s="71" t="n">
        <f aca="false">G10+G11+G12-G16-G17-G18-G19-G22</f>
        <v>364666.908718972</v>
      </c>
      <c r="H38" s="71" t="n">
        <f aca="false">H10+H11+H12-H16-H17-H18-H19-H22</f>
        <v>400510.10879746</v>
      </c>
      <c r="I38" s="71" t="n">
        <f aca="false">I10+I11+I12-I16-I17-I18-I19-I22</f>
        <v>378068.861010801</v>
      </c>
      <c r="J38" s="71" t="n">
        <f aca="false">J10+J11+J12-J16-J17-J18-J19-J22</f>
        <v>503892.269758922</v>
      </c>
      <c r="K38" s="71" t="n">
        <f aca="false">K10+K11+K12-K16-K17-K18-K19-K22</f>
        <v>454220.816866306</v>
      </c>
      <c r="L38" s="71" t="n">
        <f aca="false">L10+L11+L12-L16-L17-L18-L19-L22</f>
        <v>452324.337620771</v>
      </c>
      <c r="M38" s="71" t="n">
        <f aca="false">M10+M11+M12-M16-M17-M18-M19-M22</f>
        <v>598901.750425013</v>
      </c>
      <c r="N38" s="71" t="n">
        <f aca="false">N10+N11+N12-N16-N17-N18-N19-N22</f>
        <v>606623.338523068</v>
      </c>
      <c r="O38" s="71" t="n">
        <f aca="false">O10+O11+O12-O16-O17-O18-O19-O22</f>
        <v>524410.037105624</v>
      </c>
      <c r="P38" s="71" t="n">
        <f aca="false">P10+P11+P12-P16-P17-P18-P19-P22</f>
        <v>510006.450161419</v>
      </c>
      <c r="Q38" s="71" t="n">
        <f aca="false">Q10+Q11+Q12-Q16-Q17-Q18-Q19-Q22</f>
        <v>502967.883507306</v>
      </c>
      <c r="R38" s="71" t="n">
        <f aca="false">R10+R11+R12-R16-R17-R18-R19-R22</f>
        <v>396997.433188023</v>
      </c>
      <c r="S38" s="71" t="n">
        <f aca="false">S10+S11+S12-S16-S17-S18-S19-S22</f>
        <v>498595.648044764</v>
      </c>
      <c r="T38" s="71" t="n">
        <f aca="false">T10+T11+T12-T16-T17-T18-T19-T22</f>
        <v>523956.57731011</v>
      </c>
      <c r="U38" s="71" t="n">
        <f aca="false">U10+U11+U12-U16-U17-U18-U19-U22</f>
        <v>497859.685106948</v>
      </c>
      <c r="V38" s="71" t="n">
        <f aca="false">V10+V11+V12-V16-V17-V18-V19-V22</f>
        <v>529444.523860108</v>
      </c>
      <c r="W38" s="71" t="n">
        <f aca="false">W10+W11+W12-W16-W17-W18-W19-W22</f>
        <v>509692.961893258</v>
      </c>
      <c r="X38" s="71" t="n">
        <f aca="false">X10+X11+X12-X16-X17-X18-X19-X22</f>
        <v>459527.225789507</v>
      </c>
      <c r="Y38" s="71" t="n">
        <f aca="false">Y10+Y11+Y12-Y16-Y17-Y18-Y19-Y22</f>
        <v>480071.946175448</v>
      </c>
      <c r="Z38" s="71" t="n">
        <f aca="false">Z10+Z11+Z12-Z16-Z17-Z18-Z19-Z22</f>
        <v>503551.007002487</v>
      </c>
      <c r="AA38" s="71" t="n">
        <f aca="false">AA10+AA11+AA12-AA16-AA17-AA18-AA19-AA22</f>
        <v>461406.443835068</v>
      </c>
      <c r="AB38" s="71" t="n">
        <f aca="false">AB10+AB11+AB12-AB16-AB17-AB18-AB19-AB22</f>
        <v>496609.17884078</v>
      </c>
    </row>
    <row r="39" customFormat="false" ht="15" hidden="false" customHeight="false" outlineLevel="0" collapsed="false">
      <c r="A39" s="28" t="s">
        <v>408</v>
      </c>
      <c r="B39" s="58"/>
      <c r="C39" s="59" t="n">
        <f aca="false">P39</f>
        <v>540534.28302922</v>
      </c>
      <c r="D39" s="59" t="n">
        <f aca="false">AB39</f>
        <v>767759.860565172</v>
      </c>
      <c r="E39" s="71" t="n">
        <f aca="false">E9-E25-E26</f>
        <v>387554.930452003</v>
      </c>
      <c r="F39" s="71" t="n">
        <f aca="false">F9-F25-F26</f>
        <v>573877.630201207</v>
      </c>
      <c r="G39" s="71" t="n">
        <f aca="false">G9-G25-G26</f>
        <v>480312.207110502</v>
      </c>
      <c r="H39" s="71" t="n">
        <f aca="false">H9-H25-H26</f>
        <v>424521.050925958</v>
      </c>
      <c r="I39" s="71" t="n">
        <f aca="false">I9-I25-I26</f>
        <v>507557.830127967</v>
      </c>
      <c r="J39" s="71" t="n">
        <f aca="false">J9-J25-J26</f>
        <v>182487.475298423</v>
      </c>
      <c r="K39" s="71" t="n">
        <f aca="false">K9-K25-K26</f>
        <v>191163.984952918</v>
      </c>
      <c r="L39" s="71" t="n">
        <f aca="false">L9-L25-L26</f>
        <v>283888.049343681</v>
      </c>
      <c r="M39" s="71" t="n">
        <f aca="false">M9-M25-M26</f>
        <v>258326.23945676</v>
      </c>
      <c r="N39" s="71" t="n">
        <f aca="false">N9-N25-N26</f>
        <v>342682.10876628</v>
      </c>
      <c r="O39" s="71" t="n">
        <f aca="false">O9-O25-O26</f>
        <v>492960.487507797</v>
      </c>
      <c r="P39" s="71" t="n">
        <f aca="false">P9-P25-P26</f>
        <v>540534.28302922</v>
      </c>
      <c r="Q39" s="71" t="n">
        <f aca="false">Q9-Q25-Q26</f>
        <v>571194.160743273</v>
      </c>
      <c r="R39" s="71" t="n">
        <f aca="false">R9-R25-R26</f>
        <v>728311.648770999</v>
      </c>
      <c r="S39" s="71" t="n">
        <f aca="false">S9-S25-S26</f>
        <v>581595.941040873</v>
      </c>
      <c r="T39" s="71" t="n">
        <f aca="false">T9-T25-T26</f>
        <v>577777.3005996</v>
      </c>
      <c r="U39" s="71" t="n">
        <f aca="false">U9-U25-U26</f>
        <v>691210.612073758</v>
      </c>
      <c r="V39" s="71" t="n">
        <f aca="false">V9-V25-V26</f>
        <v>512846.179586067</v>
      </c>
      <c r="W39" s="71" t="n">
        <f aca="false">W9-W25-W26</f>
        <v>511787.447927986</v>
      </c>
      <c r="X39" s="71" t="n">
        <f aca="false">X9-X25-X26</f>
        <v>616145.73036141</v>
      </c>
      <c r="Y39" s="71" t="n">
        <f aca="false">Y9-Y25-Y26</f>
        <v>637973.572795325</v>
      </c>
      <c r="Z39" s="71" t="n">
        <f aca="false">Z9-Z25-Z26</f>
        <v>670826.722637955</v>
      </c>
      <c r="AA39" s="71" t="n">
        <f aca="false">AA9-AA25-AA26</f>
        <v>771264.260740604</v>
      </c>
      <c r="AB39" s="71" t="n">
        <f aca="false">AB9-AB25-AB26</f>
        <v>767759.860565172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409</v>
      </c>
    </row>
    <row r="3" customFormat="false" ht="15" hidden="false" customHeight="false" outlineLevel="0" collapsed="false">
      <c r="A3" s="49" t="s">
        <v>410</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411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412</v>
      </c>
      <c r="B9" s="58" t="s">
        <v>30</v>
      </c>
      <c r="C9" s="59" t="n">
        <f aca="false">SUM(E9:P9)</f>
        <v>428478.284306456</v>
      </c>
      <c r="D9" s="59" t="n">
        <f aca="false">SUM(Q9:AB9)</f>
        <v>377658.932121347</v>
      </c>
      <c r="E9" s="60" t="n">
        <f aca="false">PL!E49</f>
        <v>17942.3464124731</v>
      </c>
      <c r="F9" s="60" t="n">
        <f aca="false">PL!F49</f>
        <v>-8590.1477108857</v>
      </c>
      <c r="G9" s="60" t="n">
        <f aca="false">PL!G49</f>
        <v>9284.03571251929</v>
      </c>
      <c r="H9" s="60" t="n">
        <f aca="false">PL!H49</f>
        <v>21689.6759327581</v>
      </c>
      <c r="I9" s="60" t="n">
        <f aca="false">PL!I49</f>
        <v>47793.2634975723</v>
      </c>
      <c r="J9" s="60" t="n">
        <f aca="false">PL!J49</f>
        <v>-10776.1398058677</v>
      </c>
      <c r="K9" s="60" t="n">
        <f aca="false">PL!K49</f>
        <v>28792.4725241023</v>
      </c>
      <c r="L9" s="60" t="n">
        <f aca="false">PL!L49</f>
        <v>74710.3516030057</v>
      </c>
      <c r="M9" s="60" t="n">
        <f aca="false">PL!M49</f>
        <v>102650.316192274</v>
      </c>
      <c r="N9" s="60" t="n">
        <f aca="false">PL!N49</f>
        <v>77934.5197988111</v>
      </c>
      <c r="O9" s="60" t="n">
        <f aca="false">PL!O49</f>
        <v>51551.800830751</v>
      </c>
      <c r="P9" s="60" t="n">
        <f aca="false">PL!P49</f>
        <v>15495.7893189415</v>
      </c>
      <c r="Q9" s="60" t="n">
        <f aca="false">PL!Q49</f>
        <v>5632.0197914419</v>
      </c>
      <c r="R9" s="60" t="n">
        <f aca="false">PL!R49</f>
        <v>33612.0911307461</v>
      </c>
      <c r="S9" s="60" t="n">
        <f aca="false">PL!S49</f>
        <v>55696.0674380079</v>
      </c>
      <c r="T9" s="60" t="n">
        <f aca="false">PL!T49</f>
        <v>58337.0120197435</v>
      </c>
      <c r="U9" s="60" t="n">
        <f aca="false">PL!U49</f>
        <v>61759.0040672862</v>
      </c>
      <c r="V9" s="60" t="n">
        <f aca="false">PL!V49</f>
        <v>-10407.6490292442</v>
      </c>
      <c r="W9" s="60" t="n">
        <f aca="false">PL!W49</f>
        <v>24131.7355944803</v>
      </c>
      <c r="X9" s="60" t="n">
        <f aca="false">PL!X49</f>
        <v>34898.5828986867</v>
      </c>
      <c r="Y9" s="60" t="n">
        <f aca="false">PL!Y49</f>
        <v>23448.6902928983</v>
      </c>
      <c r="Z9" s="60" t="n">
        <f aca="false">PL!Z49</f>
        <v>37360.108569563</v>
      </c>
      <c r="AA9" s="60" t="n">
        <f aca="false">PL!AA49</f>
        <v>38661.2926943938</v>
      </c>
      <c r="AB9" s="60" t="n">
        <f aca="false">PL!AB49</f>
        <v>14529.9766533429</v>
      </c>
    </row>
    <row r="10" customFormat="false" ht="15" hidden="false" customHeight="false" outlineLevel="0" collapsed="false">
      <c r="A10" s="28" t="s">
        <v>413</v>
      </c>
      <c r="B10" s="58"/>
      <c r="C10" s="59" t="n">
        <f aca="false">SUM(E10:P10)</f>
        <v>77216.6666666667</v>
      </c>
      <c r="D10" s="59" t="n">
        <f aca="false">SUM(Q10:AB10)</f>
        <v>97401.8888888889</v>
      </c>
      <c r="E10" s="60" t="n">
        <f aca="false">-PL!E43</f>
        <v>5983.33333333333</v>
      </c>
      <c r="F10" s="60" t="n">
        <f aca="false">-PL!F43</f>
        <v>6022.22222222222</v>
      </c>
      <c r="G10" s="60" t="n">
        <f aca="false">-PL!G43</f>
        <v>6108.33333333333</v>
      </c>
      <c r="H10" s="60" t="n">
        <f aca="false">-PL!H43</f>
        <v>6252.77777777778</v>
      </c>
      <c r="I10" s="60" t="n">
        <f aca="false">-PL!I43</f>
        <v>6277.77777777778</v>
      </c>
      <c r="J10" s="60" t="n">
        <f aca="false">-PL!J43</f>
        <v>6344.44444444444</v>
      </c>
      <c r="K10" s="60" t="n">
        <f aca="false">-PL!K43</f>
        <v>6477.77777777778</v>
      </c>
      <c r="L10" s="60" t="n">
        <f aca="false">-PL!L43</f>
        <v>6522.22222222222</v>
      </c>
      <c r="M10" s="60" t="n">
        <f aca="false">-PL!M43</f>
        <v>6600</v>
      </c>
      <c r="N10" s="60" t="n">
        <f aca="false">-PL!N43</f>
        <v>6750</v>
      </c>
      <c r="O10" s="60" t="n">
        <f aca="false">-PL!O43</f>
        <v>6900</v>
      </c>
      <c r="P10" s="60" t="n">
        <f aca="false">-PL!P43</f>
        <v>6977.77777777778</v>
      </c>
      <c r="Q10" s="60" t="n">
        <f aca="false">-PL!Q43</f>
        <v>7091.55555555556</v>
      </c>
      <c r="R10" s="60" t="n">
        <f aca="false">-PL!R43</f>
        <v>7172.83333333333</v>
      </c>
      <c r="S10" s="60" t="n">
        <f aca="false">-PL!S43</f>
        <v>7883</v>
      </c>
      <c r="T10" s="60" t="n">
        <f aca="false">-PL!T43</f>
        <v>8036.5</v>
      </c>
      <c r="U10" s="60" t="n">
        <f aca="false">-PL!U43</f>
        <v>8117.77777777778</v>
      </c>
      <c r="V10" s="60" t="n">
        <f aca="false">-PL!V43</f>
        <v>8199.05555555556</v>
      </c>
      <c r="W10" s="60" t="n">
        <f aca="false">-PL!W43</f>
        <v>8280.33333333333</v>
      </c>
      <c r="X10" s="60" t="n">
        <f aca="false">-PL!X43</f>
        <v>8361.61111111111</v>
      </c>
      <c r="Y10" s="60" t="n">
        <f aca="false">-PL!Y43</f>
        <v>8442.88888888889</v>
      </c>
      <c r="Z10" s="60" t="n">
        <f aca="false">-PL!Z43</f>
        <v>8524.16666666667</v>
      </c>
      <c r="AA10" s="60" t="n">
        <f aca="false">-PL!AA43</f>
        <v>8605.44444444444</v>
      </c>
      <c r="AB10" s="60" t="n">
        <f aca="false">-PL!AB43</f>
        <v>8686.72222222222</v>
      </c>
    </row>
    <row r="11" customFormat="false" ht="15" hidden="false" customHeight="false" outlineLevel="0" collapsed="false">
      <c r="A11" s="28" t="s">
        <v>414</v>
      </c>
      <c r="B11" s="58"/>
      <c r="C11" s="59" t="n">
        <f aca="false">SUM(E11:P11)</f>
        <v>5124</v>
      </c>
      <c r="D11" s="59" t="n">
        <f aca="false">SUM(Q11:AB11)</f>
        <v>3108</v>
      </c>
      <c r="E11" s="60" t="n">
        <f aca="false">-PL!E46</f>
        <v>504</v>
      </c>
      <c r="F11" s="60" t="n">
        <f aca="false">-PL!F46</f>
        <v>490</v>
      </c>
      <c r="G11" s="60" t="n">
        <f aca="false">-PL!G46</f>
        <v>476</v>
      </c>
      <c r="H11" s="60" t="n">
        <f aca="false">-PL!H46</f>
        <v>462</v>
      </c>
      <c r="I11" s="60" t="n">
        <f aca="false">-PL!I46</f>
        <v>448</v>
      </c>
      <c r="J11" s="60" t="n">
        <f aca="false">-PL!J46</f>
        <v>434</v>
      </c>
      <c r="K11" s="60" t="n">
        <f aca="false">-PL!K46</f>
        <v>420</v>
      </c>
      <c r="L11" s="60" t="n">
        <f aca="false">-PL!L46</f>
        <v>406</v>
      </c>
      <c r="M11" s="60" t="n">
        <f aca="false">-PL!M46</f>
        <v>392</v>
      </c>
      <c r="N11" s="60" t="n">
        <f aca="false">-PL!N46</f>
        <v>378</v>
      </c>
      <c r="O11" s="60" t="n">
        <f aca="false">-PL!O46</f>
        <v>364</v>
      </c>
      <c r="P11" s="60" t="n">
        <f aca="false">-PL!P46</f>
        <v>350</v>
      </c>
      <c r="Q11" s="60" t="n">
        <f aca="false">-PL!Q46</f>
        <v>336</v>
      </c>
      <c r="R11" s="60" t="n">
        <f aca="false">-PL!R46</f>
        <v>322</v>
      </c>
      <c r="S11" s="60" t="n">
        <f aca="false">-PL!S46</f>
        <v>308</v>
      </c>
      <c r="T11" s="60" t="n">
        <f aca="false">-PL!T46</f>
        <v>294</v>
      </c>
      <c r="U11" s="60" t="n">
        <f aca="false">-PL!U46</f>
        <v>280</v>
      </c>
      <c r="V11" s="60" t="n">
        <f aca="false">-PL!V46</f>
        <v>266</v>
      </c>
      <c r="W11" s="60" t="n">
        <f aca="false">-PL!W46</f>
        <v>252</v>
      </c>
      <c r="X11" s="60" t="n">
        <f aca="false">-PL!X46</f>
        <v>238</v>
      </c>
      <c r="Y11" s="60" t="n">
        <f aca="false">-PL!Y46</f>
        <v>224</v>
      </c>
      <c r="Z11" s="60" t="n">
        <f aca="false">-PL!Z46</f>
        <v>210</v>
      </c>
      <c r="AA11" s="60" t="n">
        <f aca="false">-PL!AA46</f>
        <v>196</v>
      </c>
      <c r="AB11" s="60" t="n">
        <f aca="false">-PL!AB46</f>
        <v>182</v>
      </c>
    </row>
    <row r="12" customFormat="false" ht="15" hidden="false" customHeight="false" outlineLevel="0" collapsed="false">
      <c r="A12" s="28" t="s">
        <v>415</v>
      </c>
      <c r="B12" s="58"/>
      <c r="C12" s="59" t="n">
        <f aca="false">SUM(E12:P12)</f>
        <v>78974.36</v>
      </c>
      <c r="D12" s="59" t="n">
        <f aca="false">SUM(Q12:AB12)</f>
        <v>60426.4247098848</v>
      </c>
      <c r="E12" s="60" t="n">
        <f aca="false">-PL!E48</f>
        <v>0</v>
      </c>
      <c r="F12" s="60" t="n">
        <f aca="false">-PL!F48</f>
        <v>0</v>
      </c>
      <c r="G12" s="60" t="n">
        <f aca="false">-PL!G48</f>
        <v>0</v>
      </c>
      <c r="H12" s="60" t="n">
        <f aca="false">-PL!H48</f>
        <v>0</v>
      </c>
      <c r="I12" s="60" t="n">
        <f aca="false">-PL!I48</f>
        <v>0</v>
      </c>
      <c r="J12" s="60" t="n">
        <f aca="false">-PL!J48</f>
        <v>78974.36</v>
      </c>
      <c r="K12" s="60" t="n">
        <f aca="false">-PL!K48</f>
        <v>0</v>
      </c>
      <c r="L12" s="60" t="n">
        <f aca="false">-PL!L48</f>
        <v>0</v>
      </c>
      <c r="M12" s="60" t="n">
        <f aca="false">-PL!M48</f>
        <v>0</v>
      </c>
      <c r="N12" s="60" t="n">
        <f aca="false">-PL!N48</f>
        <v>0</v>
      </c>
      <c r="O12" s="60" t="n">
        <f aca="false">-PL!O48</f>
        <v>0</v>
      </c>
      <c r="P12" s="60" t="n">
        <f aca="false">-PL!P48</f>
        <v>0</v>
      </c>
      <c r="Q12" s="60" t="n">
        <f aca="false">-PL!Q48</f>
        <v>0</v>
      </c>
      <c r="R12" s="60" t="n">
        <f aca="false">-PL!R48</f>
        <v>0</v>
      </c>
      <c r="S12" s="60" t="n">
        <f aca="false">-PL!S48</f>
        <v>0</v>
      </c>
      <c r="T12" s="60" t="n">
        <f aca="false">-PL!T48</f>
        <v>0</v>
      </c>
      <c r="U12" s="60" t="n">
        <f aca="false">-PL!U48</f>
        <v>0</v>
      </c>
      <c r="V12" s="60" t="n">
        <f aca="false">-PL!V48</f>
        <v>60426.4247098848</v>
      </c>
      <c r="W12" s="60" t="n">
        <f aca="false">-PL!W48</f>
        <v>0</v>
      </c>
      <c r="X12" s="60" t="n">
        <f aca="false">-PL!X48</f>
        <v>0</v>
      </c>
      <c r="Y12" s="60" t="n">
        <f aca="false">-PL!Y48</f>
        <v>0</v>
      </c>
      <c r="Z12" s="60" t="n">
        <f aca="false">-PL!Z48</f>
        <v>0</v>
      </c>
      <c r="AA12" s="60" t="n">
        <f aca="false">-PL!AA48</f>
        <v>0</v>
      </c>
      <c r="AB12" s="60" t="n">
        <f aca="false">-PL!AB48</f>
        <v>0</v>
      </c>
    </row>
    <row r="13" customFormat="false" ht="15" hidden="false" customHeight="false" outlineLevel="0" collapsed="false">
      <c r="A13" s="68" t="s">
        <v>416</v>
      </c>
      <c r="B13" s="69"/>
      <c r="C13" s="70" t="n">
        <f aca="false">SUM(E13:P13)</f>
        <v>589793.310973122</v>
      </c>
      <c r="D13" s="70" t="n">
        <f aca="false">SUM(Q13:AB13)</f>
        <v>538595.24572012</v>
      </c>
      <c r="E13" s="70" t="n">
        <f aca="false">E9+E10+E11+E12</f>
        <v>24429.6797458064</v>
      </c>
      <c r="F13" s="70" t="n">
        <f aca="false">F9+F10+F11+F12</f>
        <v>-2077.92548866347</v>
      </c>
      <c r="G13" s="70" t="n">
        <f aca="false">G9+G10+G11+G12</f>
        <v>15868.3690458526</v>
      </c>
      <c r="H13" s="70" t="n">
        <f aca="false">H9+H10+H11+H12</f>
        <v>28404.4537105359</v>
      </c>
      <c r="I13" s="70" t="n">
        <f aca="false">I9+I10+I11+I12</f>
        <v>54519.04127535</v>
      </c>
      <c r="J13" s="70" t="n">
        <f aca="false">J9+J10+J11+J12</f>
        <v>74976.6646385768</v>
      </c>
      <c r="K13" s="70" t="n">
        <f aca="false">K9+K10+K11+K12</f>
        <v>35690.2503018801</v>
      </c>
      <c r="L13" s="70" t="n">
        <f aca="false">L9+L10+L11+L12</f>
        <v>81638.5738252279</v>
      </c>
      <c r="M13" s="70" t="n">
        <f aca="false">M9+M10+M11+M12</f>
        <v>109642.316192274</v>
      </c>
      <c r="N13" s="70" t="n">
        <f aca="false">N9+N10+N11+N12</f>
        <v>85062.5197988111</v>
      </c>
      <c r="O13" s="70" t="n">
        <f aca="false">O9+O10+O11+O12</f>
        <v>58815.800830751</v>
      </c>
      <c r="P13" s="70" t="n">
        <f aca="false">P9+P10+P11+P12</f>
        <v>22823.5670967193</v>
      </c>
      <c r="Q13" s="70" t="n">
        <f aca="false">Q9+Q10+Q11+Q12</f>
        <v>13059.5753469975</v>
      </c>
      <c r="R13" s="70" t="n">
        <f aca="false">R9+R10+R11+R12</f>
        <v>41106.9244640795</v>
      </c>
      <c r="S13" s="70" t="n">
        <f aca="false">S9+S10+S11+S12</f>
        <v>63887.0674380079</v>
      </c>
      <c r="T13" s="70" t="n">
        <f aca="false">T9+T10+T11+T12</f>
        <v>66667.5120197436</v>
      </c>
      <c r="U13" s="70" t="n">
        <f aca="false">U9+U10+U11+U12</f>
        <v>70156.781845064</v>
      </c>
      <c r="V13" s="70" t="n">
        <f aca="false">V9+V10+V11+V12</f>
        <v>58483.8312361961</v>
      </c>
      <c r="W13" s="70" t="n">
        <f aca="false">W9+W10+W11+W12</f>
        <v>32664.0689278137</v>
      </c>
      <c r="X13" s="70" t="n">
        <f aca="false">X9+X10+X11+X12</f>
        <v>43498.1940097978</v>
      </c>
      <c r="Y13" s="70" t="n">
        <f aca="false">Y9+Y10+Y11+Y12</f>
        <v>32115.5791817872</v>
      </c>
      <c r="Z13" s="70" t="n">
        <f aca="false">Z9+Z10+Z11+Z12</f>
        <v>46094.2752362297</v>
      </c>
      <c r="AA13" s="70" t="n">
        <f aca="false">AA9+AA10+AA11+AA12</f>
        <v>47462.7371388382</v>
      </c>
      <c r="AB13" s="70" t="n">
        <f aca="false">AB9+AB10+AB11+AB12</f>
        <v>23398.6988755651</v>
      </c>
    </row>
    <row r="14" customFormat="false" ht="15" hidden="false" customHeight="false" outlineLevel="0" collapsed="false">
      <c r="A14" s="28" t="s">
        <v>417</v>
      </c>
      <c r="B14" s="58" t="s">
        <v>418</v>
      </c>
      <c r="C14" s="59" t="n">
        <f aca="false">SUM(E14:P14)</f>
        <v>-178093.438555633</v>
      </c>
      <c r="D14" s="59" t="n">
        <f aca="false">SUM(Q14:AB14)</f>
        <v>33464.7403377186</v>
      </c>
      <c r="E14" s="60" t="n">
        <f aca="false">-(BS!E10-SUM(Client_Register!$W$7:$W$28))</f>
        <v>-130879.173201712</v>
      </c>
      <c r="F14" s="60" t="n">
        <f aca="false">-(BS!F10-BS!E10)</f>
        <v>178443.334464992</v>
      </c>
      <c r="G14" s="60" t="n">
        <f aca="false">-(BS!G10-BS!F10)</f>
        <v>-60074.8736424893</v>
      </c>
      <c r="H14" s="60" t="n">
        <f aca="false">-(BS!H10-BS!G10)</f>
        <v>-113971.156320338</v>
      </c>
      <c r="I14" s="60" t="n">
        <f aca="false">-(BS!I10-BS!H10)</f>
        <v>92794.0892526745</v>
      </c>
      <c r="J14" s="60" t="n">
        <f aca="false">-(BS!J10-BS!I10)</f>
        <v>-123905.262447417</v>
      </c>
      <c r="K14" s="60" t="n">
        <f aca="false">-(BS!K10-BS!J10)</f>
        <v>28801.1437229344</v>
      </c>
      <c r="L14" s="60" t="n">
        <f aca="false">-(BS!L10-BS!K10)</f>
        <v>96934.1602163659</v>
      </c>
      <c r="M14" s="60" t="n">
        <f aca="false">-(BS!M10-BS!L10)</f>
        <v>-140750.696083508</v>
      </c>
      <c r="N14" s="60" t="n">
        <f aca="false">-(BS!N10-BS!M10)</f>
        <v>-101597.182115308</v>
      </c>
      <c r="O14" s="60" t="n">
        <f aca="false">-(BS!O10-BS!N10)</f>
        <v>16047.195590184</v>
      </c>
      <c r="P14" s="60" t="n">
        <f aca="false">-(BS!P10-BS!O10)</f>
        <v>80064.9820079883</v>
      </c>
      <c r="Q14" s="60" t="n">
        <f aca="false">-(BS!Q10-BS!P10)</f>
        <v>6761.36802274163</v>
      </c>
      <c r="R14" s="60" t="n">
        <f aca="false">-(BS!R10-BS!Q10)</f>
        <v>151272.003258652</v>
      </c>
      <c r="S14" s="60" t="n">
        <f aca="false">-(BS!S10-BS!R10)</f>
        <v>-85735.2003835669</v>
      </c>
      <c r="T14" s="60" t="n">
        <f aca="false">-(BS!T10-BS!S10)</f>
        <v>-75640.9880786652</v>
      </c>
      <c r="U14" s="60" t="n">
        <f aca="false">-(BS!U10-BS!T10)</f>
        <v>60734.5982806038</v>
      </c>
      <c r="V14" s="60" t="n">
        <f aca="false">-(BS!V10-BS!U10)</f>
        <v>2632.65464654146</v>
      </c>
      <c r="W14" s="60" t="n">
        <f aca="false">-(BS!W10-BS!V10)</f>
        <v>-2628.16161421093</v>
      </c>
      <c r="X14" s="60" t="n">
        <f aca="false">-(BS!X10-BS!W10)</f>
        <v>65835.6486407643</v>
      </c>
      <c r="Y14" s="60" t="n">
        <f aca="false">-(BS!Y10-BS!X10)</f>
        <v>-23782.9719475827</v>
      </c>
      <c r="Z14" s="60" t="n">
        <f aca="false">-(BS!Z10-BS!Y10)</f>
        <v>-90706.767537697</v>
      </c>
      <c r="AA14" s="60" t="n">
        <f aca="false">-(BS!AA10-BS!Z10)</f>
        <v>27797.0801785706</v>
      </c>
      <c r="AB14" s="60" t="n">
        <f aca="false">-(BS!AB10-BS!AA10)</f>
        <v>-3074.52312843269</v>
      </c>
    </row>
    <row r="15" customFormat="false" ht="15" hidden="false" customHeight="false" outlineLevel="0" collapsed="false">
      <c r="A15" s="28" t="s">
        <v>419</v>
      </c>
      <c r="B15" s="58" t="s">
        <v>418</v>
      </c>
      <c r="C15" s="59" t="n">
        <f aca="false">SUM(E15:P15)</f>
        <v>34830.2702417082</v>
      </c>
      <c r="D15" s="59" t="n">
        <f aca="false">SUM(Q15:AB15)</f>
        <v>5552.93811326678</v>
      </c>
      <c r="E15" s="60" t="n">
        <f aca="false">-(BS!E11-SUMPRODUCT((Client_Register!$X$7:$X$28&gt;0)*Client_Register!$X$7:$X$28))</f>
        <v>22672.7669736501</v>
      </c>
      <c r="F15" s="60" t="n">
        <f aca="false">-(BS!F11-BS!E11)</f>
        <v>-14653.1218356641</v>
      </c>
      <c r="G15" s="60" t="n">
        <f aca="false">-(BS!G11-BS!F11)</f>
        <v>-4326.19645527421</v>
      </c>
      <c r="H15" s="60" t="n">
        <f aca="false">-(BS!H11-BS!G11)</f>
        <v>38534.3269812954</v>
      </c>
      <c r="I15" s="60" t="n">
        <f aca="false">-(BS!I11-BS!H11)</f>
        <v>-29706.3530256377</v>
      </c>
      <c r="J15" s="60" t="n">
        <f aca="false">-(BS!J11-BS!I11)</f>
        <v>27841.0828310349</v>
      </c>
      <c r="K15" s="60" t="n">
        <f aca="false">-(BS!K11-BS!J11)</f>
        <v>-40717.5324708802</v>
      </c>
      <c r="L15" s="60" t="n">
        <f aca="false">-(BS!L11-BS!K11)</f>
        <v>-58475.1204617169</v>
      </c>
      <c r="M15" s="60" t="n">
        <f aca="false">-(BS!M11-BS!L11)</f>
        <v>21855.7117316708</v>
      </c>
      <c r="N15" s="60" t="n">
        <f aca="false">-(BS!N11-BS!M11)</f>
        <v>11170.8738911345</v>
      </c>
      <c r="O15" s="60" t="n">
        <f aca="false">-(BS!O11-BS!N11)</f>
        <v>33836.9356615387</v>
      </c>
      <c r="P15" s="60" t="n">
        <f aca="false">-(BS!P11-BS!O11)</f>
        <v>26796.8964205569</v>
      </c>
      <c r="Q15" s="60" t="n">
        <f aca="false">-(BS!Q11-BS!P11)</f>
        <v>-17776.3434776688</v>
      </c>
      <c r="R15" s="60" t="n">
        <f aca="false">-(BS!R11-BS!Q11)</f>
        <v>2285.46992696663</v>
      </c>
      <c r="S15" s="60" t="n">
        <f aca="false">-(BS!S11-BS!R11)</f>
        <v>-5980.36563293751</v>
      </c>
      <c r="T15" s="60" t="n">
        <f aca="false">-(BS!T11-BS!S11)</f>
        <v>7638.44033244749</v>
      </c>
      <c r="U15" s="60" t="n">
        <f aca="false">-(BS!U11-BS!T11)</f>
        <v>-7818.25527768683</v>
      </c>
      <c r="V15" s="60" t="n">
        <f aca="false">-(BS!V11-BS!U11)</f>
        <v>9147.31155383367</v>
      </c>
      <c r="W15" s="60" t="n">
        <f aca="false">-(BS!W11-BS!V11)</f>
        <v>-14881.4483142299</v>
      </c>
      <c r="X15" s="60" t="n">
        <f aca="false">-(BS!X11-BS!W11)</f>
        <v>17882.1328814691</v>
      </c>
      <c r="Y15" s="60" t="n">
        <f aca="false">-(BS!Y11-BS!X11)</f>
        <v>3618.29180974253</v>
      </c>
      <c r="Z15" s="60" t="n">
        <f aca="false">-(BS!Z11-BS!Y11)</f>
        <v>-1906.2840518884</v>
      </c>
      <c r="AA15" s="60" t="n">
        <f aca="false">-(BS!AA11-BS!Z11)</f>
        <v>-6795.43189622319</v>
      </c>
      <c r="AB15" s="60" t="n">
        <f aca="false">-(BS!AB11-BS!AA11)</f>
        <v>20139.4202594419</v>
      </c>
    </row>
    <row r="16" customFormat="false" ht="15" hidden="false" customHeight="false" outlineLevel="0" collapsed="false">
      <c r="A16" s="28" t="s">
        <v>420</v>
      </c>
      <c r="B16" s="58" t="s">
        <v>418</v>
      </c>
      <c r="C16" s="59" t="n">
        <f aca="false">SUM(E16:P16)</f>
        <v>0</v>
      </c>
      <c r="D16" s="59" t="n">
        <f aca="false">SUM(Q16:AB16)</f>
        <v>0</v>
      </c>
      <c r="E16" s="60" t="n">
        <f aca="false">-(BS!E12-Inputs_Actuals!$C$180)</f>
        <v>-0</v>
      </c>
      <c r="F16" s="60" t="n">
        <f aca="false">-(BS!F12-BS!E12)</f>
        <v>-0</v>
      </c>
      <c r="G16" s="60" t="n">
        <f aca="false">-(BS!G12-BS!F12)</f>
        <v>-0</v>
      </c>
      <c r="H16" s="60" t="n">
        <f aca="false">-(BS!H12-BS!G12)</f>
        <v>-0</v>
      </c>
      <c r="I16" s="60" t="n">
        <f aca="false">-(BS!I12-BS!H12)</f>
        <v>-0</v>
      </c>
      <c r="J16" s="60" t="n">
        <f aca="false">-(BS!J12-BS!I12)</f>
        <v>-0</v>
      </c>
      <c r="K16" s="60" t="n">
        <f aca="false">-(BS!K12-BS!J12)</f>
        <v>-0</v>
      </c>
      <c r="L16" s="60" t="n">
        <f aca="false">-(BS!L12-BS!K12)</f>
        <v>-0</v>
      </c>
      <c r="M16" s="60" t="n">
        <f aca="false">-(BS!M12-BS!L12)</f>
        <v>-0</v>
      </c>
      <c r="N16" s="60" t="n">
        <f aca="false">-(BS!N12-BS!M12)</f>
        <v>-0</v>
      </c>
      <c r="O16" s="60" t="n">
        <f aca="false">-(BS!O12-BS!N12)</f>
        <v>-0</v>
      </c>
      <c r="P16" s="60" t="n">
        <f aca="false">-(BS!P12-BS!O12)</f>
        <v>-0</v>
      </c>
      <c r="Q16" s="60" t="n">
        <f aca="false">-(BS!Q12-BS!P12)</f>
        <v>-0</v>
      </c>
      <c r="R16" s="60" t="n">
        <f aca="false">-(BS!R12-BS!Q12)</f>
        <v>-0</v>
      </c>
      <c r="S16" s="60" t="n">
        <f aca="false">-(BS!S12-BS!R12)</f>
        <v>-0</v>
      </c>
      <c r="T16" s="60" t="n">
        <f aca="false">-(BS!T12-BS!S12)</f>
        <v>-0</v>
      </c>
      <c r="U16" s="60" t="n">
        <f aca="false">-(BS!U12-BS!T12)</f>
        <v>-0</v>
      </c>
      <c r="V16" s="60" t="n">
        <f aca="false">-(BS!V12-BS!U12)</f>
        <v>-0</v>
      </c>
      <c r="W16" s="60" t="n">
        <f aca="false">-(BS!W12-BS!V12)</f>
        <v>-0</v>
      </c>
      <c r="X16" s="60" t="n">
        <f aca="false">-(BS!X12-BS!W12)</f>
        <v>-0</v>
      </c>
      <c r="Y16" s="60" t="n">
        <f aca="false">-(BS!Y12-BS!X12)</f>
        <v>-0</v>
      </c>
      <c r="Z16" s="60" t="n">
        <f aca="false">-(BS!Z12-BS!Y12)</f>
        <v>-0</v>
      </c>
      <c r="AA16" s="60" t="n">
        <f aca="false">-(BS!AA12-BS!Z12)</f>
        <v>-0</v>
      </c>
      <c r="AB16" s="60" t="n">
        <f aca="false">-(BS!AB12-BS!AA12)</f>
        <v>-0</v>
      </c>
    </row>
    <row r="17" customFormat="false" ht="15" hidden="false" customHeight="false" outlineLevel="0" collapsed="false">
      <c r="A17" s="28" t="s">
        <v>421</v>
      </c>
      <c r="B17" s="58" t="s">
        <v>418</v>
      </c>
      <c r="C17" s="59" t="n">
        <f aca="false">SUM(E17:P17)</f>
        <v>-17381.3333333333</v>
      </c>
      <c r="D17" s="59" t="n">
        <f aca="false">SUM(Q17:AB17)</f>
        <v>180.84</v>
      </c>
      <c r="E17" s="60" t="n">
        <f aca="false">(BS!E16-Inputs_Actuals!$C$185)</f>
        <v>-17760.84832</v>
      </c>
      <c r="F17" s="60" t="n">
        <f aca="false">(BS!F16-BS!E16)</f>
        <v>677.313280000001</v>
      </c>
      <c r="G17" s="60" t="n">
        <f aca="false">(BS!G16-BS!F16)</f>
        <v>-919.7408</v>
      </c>
      <c r="H17" s="60" t="n">
        <f aca="false">(BS!H16-BS!G16)</f>
        <v>1105.11096</v>
      </c>
      <c r="I17" s="60" t="n">
        <f aca="false">(BS!I16-BS!H16)</f>
        <v>-676.88192</v>
      </c>
      <c r="J17" s="60" t="n">
        <f aca="false">(BS!J16-BS!I16)</f>
        <v>16505</v>
      </c>
      <c r="K17" s="60" t="n">
        <f aca="false">(BS!K16-BS!J16)</f>
        <v>27205.29792</v>
      </c>
      <c r="L17" s="60" t="n">
        <f aca="false">(BS!L16-BS!K16)</f>
        <v>-22279.0856</v>
      </c>
      <c r="M17" s="60" t="n">
        <f aca="false">(BS!M16-BS!L16)</f>
        <v>-16760.3788754436</v>
      </c>
      <c r="N17" s="60" t="n">
        <f aca="false">(BS!N16-BS!M16)</f>
        <v>-4477.11997788979</v>
      </c>
      <c r="O17" s="60" t="n">
        <f aca="false">(BS!O16-BS!N16)</f>
        <v>0</v>
      </c>
      <c r="P17" s="60" t="n">
        <f aca="false">(BS!P16-BS!O16)</f>
        <v>0</v>
      </c>
      <c r="Q17" s="60" t="n">
        <f aca="false">(BS!Q16-BS!P16)</f>
        <v>180.839999999999</v>
      </c>
      <c r="R17" s="60" t="n">
        <f aca="false">(BS!R16-BS!Q16)</f>
        <v>0</v>
      </c>
      <c r="S17" s="60" t="n">
        <f aca="false">(BS!S16-BS!R16)</f>
        <v>0</v>
      </c>
      <c r="T17" s="60" t="n">
        <f aca="false">(BS!T16-BS!S16)</f>
        <v>0</v>
      </c>
      <c r="U17" s="60" t="n">
        <f aca="false">(BS!U16-BS!T16)</f>
        <v>0</v>
      </c>
      <c r="V17" s="60" t="n">
        <f aca="false">(BS!V16-BS!U16)</f>
        <v>0</v>
      </c>
      <c r="W17" s="60" t="n">
        <f aca="false">(BS!W16-BS!V16)</f>
        <v>11861.6867926575</v>
      </c>
      <c r="X17" s="60" t="n">
        <f aca="false">(BS!X16-BS!W16)</f>
        <v>-11861.6867926575</v>
      </c>
      <c r="Y17" s="60" t="n">
        <f aca="false">(BS!Y16-BS!X16)</f>
        <v>0</v>
      </c>
      <c r="Z17" s="60" t="n">
        <f aca="false">(BS!Z16-BS!Y16)</f>
        <v>0</v>
      </c>
      <c r="AA17" s="60" t="n">
        <f aca="false">(BS!AA16-BS!Z16)</f>
        <v>0</v>
      </c>
      <c r="AB17" s="60" t="n">
        <f aca="false">(BS!AB16-BS!AA16)</f>
        <v>0</v>
      </c>
    </row>
    <row r="18" customFormat="false" ht="15" hidden="false" customHeight="false" outlineLevel="0" collapsed="false">
      <c r="A18" s="28" t="s">
        <v>422</v>
      </c>
      <c r="B18" s="58" t="s">
        <v>418</v>
      </c>
      <c r="C18" s="59" t="n">
        <f aca="false">SUM(E18:P18)</f>
        <v>122595.15673931</v>
      </c>
      <c r="D18" s="59" t="n">
        <f aca="false">SUM(Q18:AB18)</f>
        <v>-28539.5156739311</v>
      </c>
      <c r="E18" s="60" t="n">
        <f aca="false">(BS!E17-Inputs_Actuals!$C$186)</f>
        <v>36945.4341845925</v>
      </c>
      <c r="F18" s="60" t="n">
        <f aca="false">(BS!F17-BS!E17)</f>
        <v>985.224677947554</v>
      </c>
      <c r="G18" s="60" t="n">
        <f aca="false">(BS!G17-BS!F17)</f>
        <v>24200.0025417311</v>
      </c>
      <c r="H18" s="60" t="n">
        <f aca="false">(BS!H17-BS!G17)</f>
        <v>30868.2597941905</v>
      </c>
      <c r="I18" s="60" t="n">
        <f aca="false">(BS!I17-BS!H17)</f>
        <v>-8659.39550631464</v>
      </c>
      <c r="J18" s="60" t="n">
        <f aca="false">(BS!J17-BS!I17)</f>
        <v>-32403.4593100001</v>
      </c>
      <c r="K18" s="60" t="n">
        <f aca="false">(BS!K17-BS!J17)</f>
        <v>-17511.4445358446</v>
      </c>
      <c r="L18" s="60" t="n">
        <f aca="false">(BS!L17-BS!K17)</f>
        <v>42624.5313337844</v>
      </c>
      <c r="M18" s="60" t="n">
        <f aca="false">(BS!M17-BS!L17)</f>
        <v>-1219.85589732832</v>
      </c>
      <c r="N18" s="60" t="n">
        <f aca="false">(BS!N17-BS!M17)</f>
        <v>23382.9297282759</v>
      </c>
      <c r="O18" s="60" t="n">
        <f aca="false">(BS!O17-BS!N17)</f>
        <v>58457.3243206895</v>
      </c>
      <c r="P18" s="60" t="n">
        <f aca="false">(BS!P17-BS!O17)</f>
        <v>-35074.3945924137</v>
      </c>
      <c r="Q18" s="60" t="n">
        <f aca="false">(BS!Q17-BS!P17)</f>
        <v>-82775.2540489655</v>
      </c>
      <c r="R18" s="60" t="n">
        <f aca="false">(BS!R17-BS!Q17)</f>
        <v>0</v>
      </c>
      <c r="S18" s="60" t="n">
        <f aca="false">(BS!S17-BS!R17)</f>
        <v>18997.9297282758</v>
      </c>
      <c r="T18" s="60" t="n">
        <f aca="false">(BS!T17-BS!S17)</f>
        <v>4989.83213482724</v>
      </c>
      <c r="U18" s="60" t="n">
        <f aca="false">(BS!U17-BS!T17)</f>
        <v>0</v>
      </c>
      <c r="V18" s="60" t="n">
        <f aca="false">(BS!V17-BS!U17)</f>
        <v>-11090.3832276724</v>
      </c>
      <c r="W18" s="60" t="n">
        <f aca="false">(BS!W17-BS!V17)</f>
        <v>-28777.8689044651</v>
      </c>
      <c r="X18" s="60" t="n">
        <f aca="false">(BS!X17-BS!W17)</f>
        <v>10702.3183777241</v>
      </c>
      <c r="Y18" s="60" t="n">
        <f aca="false">(BS!Y17-BS!X17)</f>
        <v>21404.6367554482</v>
      </c>
      <c r="Z18" s="60" t="n">
        <f aca="false">(BS!Z17-BS!Y17)</f>
        <v>17004.6367554483</v>
      </c>
      <c r="AA18" s="60" t="n">
        <f aca="false">(BS!AA17-BS!Z17)</f>
        <v>52511.5918886206</v>
      </c>
      <c r="AB18" s="60" t="n">
        <f aca="false">(BS!AB17-BS!AA17)</f>
        <v>-31506.9551331724</v>
      </c>
    </row>
    <row r="19" customFormat="false" ht="15" hidden="false" customHeight="false" outlineLevel="0" collapsed="false">
      <c r="A19" s="28" t="s">
        <v>423</v>
      </c>
      <c r="B19" s="58" t="s">
        <v>418</v>
      </c>
      <c r="C19" s="59" t="n">
        <f aca="false">SUM(E19:P19)</f>
        <v>5812.5</v>
      </c>
      <c r="D19" s="59" t="n">
        <f aca="false">SUM(Q19:AB19)</f>
        <v>-5812.5</v>
      </c>
      <c r="E19" s="60" t="n">
        <f aca="false">(BS!E18-Inputs_Actuals!$C$187)</f>
        <v>0</v>
      </c>
      <c r="F19" s="60" t="n">
        <f aca="false">(BS!F18-BS!E18)</f>
        <v>0</v>
      </c>
      <c r="G19" s="60" t="n">
        <f aca="false">(BS!G18-BS!F18)</f>
        <v>0</v>
      </c>
      <c r="H19" s="60" t="n">
        <f aca="false">(BS!H18-BS!G18)</f>
        <v>0</v>
      </c>
      <c r="I19" s="60" t="n">
        <f aca="false">(BS!I18-BS!H18)</f>
        <v>0</v>
      </c>
      <c r="J19" s="60" t="n">
        <f aca="false">(BS!J18-BS!I18)</f>
        <v>0</v>
      </c>
      <c r="K19" s="60" t="n">
        <f aca="false">(BS!K18-BS!J18)</f>
        <v>5191.28</v>
      </c>
      <c r="L19" s="60" t="n">
        <f aca="false">(BS!L18-BS!K18)</f>
        <v>1720.06</v>
      </c>
      <c r="M19" s="60" t="n">
        <f aca="false">(BS!M18-BS!L18)</f>
        <v>1408.71555555556</v>
      </c>
      <c r="N19" s="60" t="n">
        <f aca="false">(BS!N18-BS!M18)</f>
        <v>6396.33333333333</v>
      </c>
      <c r="O19" s="60" t="n">
        <f aca="false">(BS!O18-BS!N18)</f>
        <v>-1157.33333333333</v>
      </c>
      <c r="P19" s="60" t="n">
        <f aca="false">(BS!P18-BS!O18)</f>
        <v>-7746.55555555556</v>
      </c>
      <c r="Q19" s="60" t="n">
        <f aca="false">(BS!Q18-BS!P18)</f>
        <v>-5812.5</v>
      </c>
      <c r="R19" s="60" t="n">
        <f aca="false">(BS!R18-BS!Q18)</f>
        <v>0</v>
      </c>
      <c r="S19" s="60" t="n">
        <f aca="false">(BS!S18-BS!R18)</f>
        <v>0</v>
      </c>
      <c r="T19" s="60" t="n">
        <f aca="false">(BS!T18-BS!S18)</f>
        <v>0</v>
      </c>
      <c r="U19" s="60" t="n">
        <f aca="false">(BS!U18-BS!T18)</f>
        <v>0</v>
      </c>
      <c r="V19" s="60" t="n">
        <f aca="false">(BS!V18-BS!U18)</f>
        <v>0</v>
      </c>
      <c r="W19" s="60" t="n">
        <f aca="false">(BS!W18-BS!V18)</f>
        <v>0</v>
      </c>
      <c r="X19" s="60" t="n">
        <f aca="false">(BS!X18-BS!W18)</f>
        <v>0</v>
      </c>
      <c r="Y19" s="60" t="n">
        <f aca="false">(BS!Y18-BS!X18)</f>
        <v>0</v>
      </c>
      <c r="Z19" s="60" t="n">
        <f aca="false">(BS!Z18-BS!Y18)</f>
        <v>0</v>
      </c>
      <c r="AA19" s="60" t="n">
        <f aca="false">(BS!AA18-BS!Z18)</f>
        <v>0</v>
      </c>
      <c r="AB19" s="60" t="n">
        <f aca="false">(BS!AB18-BS!AA18)</f>
        <v>0</v>
      </c>
    </row>
    <row r="20" customFormat="false" ht="15" hidden="false" customHeight="false" outlineLevel="0" collapsed="false">
      <c r="A20" s="28" t="s">
        <v>424</v>
      </c>
      <c r="B20" s="58" t="s">
        <v>418</v>
      </c>
      <c r="C20" s="59" t="n">
        <f aca="false">SUM(E20:P20)</f>
        <v>814.800000000003</v>
      </c>
      <c r="D20" s="59" t="n">
        <f aca="false">SUM(Q20:AB20)</f>
        <v>753.443999999996</v>
      </c>
      <c r="E20" s="60" t="n">
        <f aca="false">(BS!E19-Inputs_Actuals!$C$188)</f>
        <v>304.464</v>
      </c>
      <c r="F20" s="60" t="n">
        <f aca="false">(BS!F19-BS!E19)</f>
        <v>1471.18400000001</v>
      </c>
      <c r="G20" s="60" t="n">
        <f aca="false">(BS!G19-BS!F19)</f>
        <v>7903.77400000001</v>
      </c>
      <c r="H20" s="60" t="n">
        <f aca="false">(BS!H19-BS!G19)</f>
        <v>-9530.53999999999</v>
      </c>
      <c r="I20" s="60" t="n">
        <f aca="false">(BS!I19-BS!H19)</f>
        <v>2552.766</v>
      </c>
      <c r="J20" s="60" t="n">
        <f aca="false">(BS!J19-BS!I19)</f>
        <v>-4122.54000000001</v>
      </c>
      <c r="K20" s="60" t="n">
        <f aca="false">(BS!K19-BS!J19)</f>
        <v>2162.384</v>
      </c>
      <c r="L20" s="60" t="n">
        <f aca="false">(BS!L19-BS!K19)</f>
        <v>-2313.066</v>
      </c>
      <c r="M20" s="60" t="n">
        <f aca="false">(BS!M19-BS!L19)</f>
        <v>2386.37399999998</v>
      </c>
      <c r="N20" s="60" t="n">
        <f aca="false">(BS!N19-BS!M19)</f>
        <v>3348.00000000001</v>
      </c>
      <c r="O20" s="60" t="n">
        <f aca="false">(BS!O19-BS!N19)</f>
        <v>0</v>
      </c>
      <c r="P20" s="60" t="n">
        <f aca="false">(BS!P19-BS!O19)</f>
        <v>-3348</v>
      </c>
      <c r="Q20" s="60" t="n">
        <f aca="false">(BS!Q19-BS!P19)</f>
        <v>2260.04399999999</v>
      </c>
      <c r="R20" s="60" t="n">
        <f aca="false">(BS!R19-BS!Q19)</f>
        <v>-1506.6</v>
      </c>
      <c r="S20" s="60" t="n">
        <f aca="false">(BS!S19-BS!R19)</f>
        <v>1339.2</v>
      </c>
      <c r="T20" s="60" t="n">
        <f aca="false">(BS!T19-BS!S19)</f>
        <v>2008.8</v>
      </c>
      <c r="U20" s="60" t="n">
        <f aca="false">(BS!U19-BS!T19)</f>
        <v>-3348</v>
      </c>
      <c r="V20" s="60" t="n">
        <f aca="false">(BS!V19-BS!U19)</f>
        <v>0</v>
      </c>
      <c r="W20" s="60" t="n">
        <f aca="false">(BS!W19-BS!V19)</f>
        <v>0</v>
      </c>
      <c r="X20" s="60" t="n">
        <f aca="false">(BS!X19-BS!W19)</f>
        <v>0</v>
      </c>
      <c r="Y20" s="60" t="n">
        <f aca="false">(BS!Y19-BS!X19)</f>
        <v>0</v>
      </c>
      <c r="Z20" s="60" t="n">
        <f aca="false">(BS!Z19-BS!Y19)</f>
        <v>0</v>
      </c>
      <c r="AA20" s="60" t="n">
        <f aca="false">(BS!AA19-BS!Z19)</f>
        <v>0</v>
      </c>
      <c r="AB20" s="60" t="n">
        <f aca="false">(BS!AB19-BS!AA19)</f>
        <v>0</v>
      </c>
    </row>
    <row r="21" customFormat="false" ht="15" hidden="false" customHeight="false" outlineLevel="0" collapsed="false">
      <c r="A21" s="28" t="s">
        <v>425</v>
      </c>
      <c r="B21" s="58" t="s">
        <v>418</v>
      </c>
      <c r="C21" s="59" t="n">
        <f aca="false">SUM(E21:P21)</f>
        <v>5728.62599999999</v>
      </c>
      <c r="D21" s="59" t="n">
        <f aca="false">SUM(Q21:AB21)</f>
        <v>9899.95428400001</v>
      </c>
      <c r="E21" s="60" t="n">
        <f aca="false">(BS!E20-Inputs_Actuals!$C$189)</f>
        <v>-410.254000000015</v>
      </c>
      <c r="F21" s="60" t="n">
        <f aca="false">(BS!F20-BS!E20)</f>
        <v>-420.805439999996</v>
      </c>
      <c r="G21" s="60" t="n">
        <f aca="false">(BS!G20-BS!F20)</f>
        <v>58721.7091565919</v>
      </c>
      <c r="H21" s="60" t="n">
        <f aca="false">(BS!H20-BS!G20)</f>
        <v>-54828.8267565919</v>
      </c>
      <c r="I21" s="60" t="n">
        <f aca="false">(BS!I20-BS!H20)</f>
        <v>-3717.19743999999</v>
      </c>
      <c r="J21" s="60" t="n">
        <f aca="false">(BS!J20-BS!I20)</f>
        <v>-67.3992000000144</v>
      </c>
      <c r="K21" s="60" t="n">
        <f aca="false">(BS!K20-BS!J20)</f>
        <v>2313.98288000003</v>
      </c>
      <c r="L21" s="60" t="n">
        <f aca="false">(BS!L20-BS!K20)</f>
        <v>503.442719999992</v>
      </c>
      <c r="M21" s="60" t="n">
        <f aca="false">(BS!M20-BS!L20)</f>
        <v>-1098.31392000002</v>
      </c>
      <c r="N21" s="60" t="n">
        <f aca="false">(BS!N20-BS!M20)</f>
        <v>2717.79200000002</v>
      </c>
      <c r="O21" s="60" t="n">
        <f aca="false">(BS!O20-BS!N20)</f>
        <v>2014.49599999998</v>
      </c>
      <c r="P21" s="60" t="n">
        <f aca="false">(BS!P20-BS!O20)</f>
        <v>0</v>
      </c>
      <c r="Q21" s="60" t="n">
        <f aca="false">(BS!Q20-BS!P20)</f>
        <v>5730.386508</v>
      </c>
      <c r="R21" s="60" t="n">
        <f aca="false">(BS!R20-BS!Q20)</f>
        <v>0</v>
      </c>
      <c r="S21" s="60" t="n">
        <f aca="false">(BS!S20-BS!R20)</f>
        <v>57654.97232</v>
      </c>
      <c r="T21" s="60" t="n">
        <f aca="false">(BS!T20-BS!S20)</f>
        <v>-53485.404544</v>
      </c>
      <c r="U21" s="60" t="n">
        <f aca="false">(BS!U20-BS!T20)</f>
        <v>0</v>
      </c>
      <c r="V21" s="60" t="n">
        <f aca="false">(BS!V20-BS!U20)</f>
        <v>0</v>
      </c>
      <c r="W21" s="60" t="n">
        <f aca="false">(BS!W20-BS!V20)</f>
        <v>0</v>
      </c>
      <c r="X21" s="60" t="n">
        <f aca="false">(BS!X20-BS!W20)</f>
        <v>0</v>
      </c>
      <c r="Y21" s="60" t="n">
        <f aca="false">(BS!Y20-BS!X20)</f>
        <v>0</v>
      </c>
      <c r="Z21" s="60" t="n">
        <f aca="false">(BS!Z20-BS!Y20)</f>
        <v>0</v>
      </c>
      <c r="AA21" s="60" t="n">
        <f aca="false">(BS!AA20-BS!Z20)</f>
        <v>0</v>
      </c>
      <c r="AB21" s="60" t="n">
        <f aca="false">(BS!AB20-BS!AA20)</f>
        <v>0</v>
      </c>
    </row>
    <row r="22" customFormat="false" ht="15" hidden="false" customHeight="false" outlineLevel="0" collapsed="false">
      <c r="A22" s="28" t="s">
        <v>426</v>
      </c>
      <c r="B22" s="58" t="s">
        <v>418</v>
      </c>
      <c r="C22" s="59" t="n">
        <f aca="false">SUM(E22:P22)</f>
        <v>38.381107631285</v>
      </c>
      <c r="D22" s="59" t="n">
        <f aca="false">SUM(Q22:AB22)</f>
        <v>621.626444305264</v>
      </c>
      <c r="E22" s="60" t="n">
        <f aca="false">(BS!E21-Inputs_Actuals!$C$190)</f>
        <v>-1223.74688</v>
      </c>
      <c r="F22" s="60" t="n">
        <f aca="false">(BS!F21-BS!E21)</f>
        <v>616.555200000003</v>
      </c>
      <c r="G22" s="60" t="n">
        <f aca="false">(BS!G21-BS!F21)</f>
        <v>-1531.84752</v>
      </c>
      <c r="H22" s="60" t="n">
        <f aca="false">(BS!H21-BS!G21)</f>
        <v>1174.37664</v>
      </c>
      <c r="I22" s="60" t="n">
        <f aca="false">(BS!I21-BS!H21)</f>
        <v>637.11647999999</v>
      </c>
      <c r="J22" s="60" t="n">
        <f aca="false">(BS!J21-BS!I21)</f>
        <v>-1819.08911999998</v>
      </c>
      <c r="K22" s="60" t="n">
        <f aca="false">(BS!K21-BS!J21)</f>
        <v>-5583.40992000001</v>
      </c>
      <c r="L22" s="60" t="n">
        <f aca="false">(BS!L21-BS!K21)</f>
        <v>-144.491999999998</v>
      </c>
      <c r="M22" s="60" t="n">
        <f aca="false">(BS!M21-BS!L21)</f>
        <v>4952.91064504611</v>
      </c>
      <c r="N22" s="60" t="n">
        <f aca="false">(BS!N21-BS!M21)</f>
        <v>-963.354391236382</v>
      </c>
      <c r="O22" s="60" t="n">
        <f aca="false">(BS!O21-BS!N21)</f>
        <v>1712.75049332148</v>
      </c>
      <c r="P22" s="60" t="n">
        <f aca="false">(BS!P21-BS!O21)</f>
        <v>2210.61148050007</v>
      </c>
      <c r="Q22" s="60" t="n">
        <f aca="false">(BS!Q21-BS!P21)</f>
        <v>-2684.7047975588</v>
      </c>
      <c r="R22" s="60" t="n">
        <f aca="false">(BS!R21-BS!Q21)</f>
        <v>1340.05924186406</v>
      </c>
      <c r="S22" s="60" t="n">
        <f aca="false">(BS!S21-BS!R21)</f>
        <v>-8858.95261389224</v>
      </c>
      <c r="T22" s="60" t="n">
        <f aca="false">(BS!T21-BS!S21)</f>
        <v>1731.56816582877</v>
      </c>
      <c r="U22" s="60" t="n">
        <f aca="false">(BS!U21-BS!T21)</f>
        <v>7937.02424343272</v>
      </c>
      <c r="V22" s="60" t="n">
        <f aca="false">(BS!V21-BS!U21)</f>
        <v>-280.896000000001</v>
      </c>
      <c r="W22" s="60" t="n">
        <f aca="false">(BS!W21-BS!V21)</f>
        <v>-2318.55102535991</v>
      </c>
      <c r="X22" s="60" t="n">
        <f aca="false">(BS!X21-BS!W21)</f>
        <v>1409.73913737577</v>
      </c>
      <c r="Y22" s="60" t="n">
        <f aca="false">(BS!Y21-BS!X21)</f>
        <v>958.370455568926</v>
      </c>
      <c r="Z22" s="60" t="n">
        <f aca="false">(BS!Z21-BS!Y21)</f>
        <v>925.322250938189</v>
      </c>
      <c r="AA22" s="60" t="n">
        <f aca="false">(BS!AA21-BS!Z21)</f>
        <v>1503.62461389223</v>
      </c>
      <c r="AB22" s="60" t="n">
        <f aca="false">(BS!AB21-BS!AA21)</f>
        <v>-1040.97722778446</v>
      </c>
    </row>
    <row r="23" customFormat="false" ht="15" hidden="false" customHeight="false" outlineLevel="0" collapsed="false">
      <c r="A23" s="28" t="s">
        <v>427</v>
      </c>
      <c r="B23" s="58" t="s">
        <v>418</v>
      </c>
      <c r="C23" s="59" t="n">
        <f aca="false">SUM(E23:P23)</f>
        <v>2810.67545641537</v>
      </c>
      <c r="D23" s="59" t="n">
        <f aca="false">SUM(Q23:AB23)</f>
        <v>7797.32454358466</v>
      </c>
      <c r="E23" s="60" t="n">
        <f aca="false">(BS!E22-SUMPRODUCT((Client_Register!$X$7:$X$28&lt;0)*(-Client_Register!$X$7:$X$28)))</f>
        <v>68030.4779496652</v>
      </c>
      <c r="F23" s="60" t="n">
        <f aca="false">(BS!F22-BS!E22)</f>
        <v>12668.8450905926</v>
      </c>
      <c r="G23" s="60" t="n">
        <f aca="false">(BS!G22-BS!F22)</f>
        <v>-8960.69491711723</v>
      </c>
      <c r="H23" s="60" t="n">
        <f aca="false">(BS!H22-BS!G22)</f>
        <v>17150.7985063647</v>
      </c>
      <c r="I23" s="60" t="n">
        <f aca="false">(BS!I22-BS!H22)</f>
        <v>-33862.977014063</v>
      </c>
      <c r="J23" s="60" t="n">
        <f aca="false">(BS!J22-BS!I22)</f>
        <v>-9738.22982173877</v>
      </c>
      <c r="K23" s="60" t="n">
        <f aca="false">(BS!K22-BS!J22)</f>
        <v>44540.3242564058</v>
      </c>
      <c r="L23" s="60" t="n">
        <f aca="false">(BS!L22-BS!K22)</f>
        <v>-56315.0002428984</v>
      </c>
      <c r="M23" s="60" t="n">
        <f aca="false">(BS!M22-BS!L22)</f>
        <v>-13497.2832351878</v>
      </c>
      <c r="N23" s="60" t="n">
        <f aca="false">(BS!N22-BS!M22)</f>
        <v>54054.5770423987</v>
      </c>
      <c r="O23" s="60" t="n">
        <f aca="false">(BS!O22-BS!N22)</f>
        <v>-24970.8208216348</v>
      </c>
      <c r="P23" s="60" t="n">
        <f aca="false">(BS!P22-BS!O22)</f>
        <v>-46289.3413363717</v>
      </c>
      <c r="Q23" s="60" t="n">
        <f aca="false">(BS!Q22-BS!P22)</f>
        <v>104200.412158006</v>
      </c>
      <c r="R23" s="60" t="n">
        <f aca="false">(BS!R22-BS!Q22)</f>
        <v>-46080.4228663364</v>
      </c>
      <c r="S23" s="60" t="n">
        <f aca="false">(BS!S22-BS!R22)</f>
        <v>-30219.7785685127</v>
      </c>
      <c r="T23" s="60" t="n">
        <f aca="false">(BS!T22-BS!S22)</f>
        <v>35642.9863460446</v>
      </c>
      <c r="U23" s="60" t="n">
        <f aca="false">(BS!U22-BS!T22)</f>
        <v>-23471.4507997548</v>
      </c>
      <c r="V23" s="60" t="n">
        <f aca="false">(BS!V22-BS!U22)</f>
        <v>-32274.4217258625</v>
      </c>
      <c r="W23" s="60" t="n">
        <f aca="false">(BS!W22-BS!V22)</f>
        <v>54177.3540070988</v>
      </c>
      <c r="X23" s="60" t="n">
        <f aca="false">(BS!X22-BS!W22)</f>
        <v>-32392.6770035494</v>
      </c>
      <c r="Y23" s="60" t="n">
        <f aca="false">(BS!Y22-BS!X22)</f>
        <v>-21784.6770035494</v>
      </c>
      <c r="Z23" s="60" t="n">
        <f aca="false">(BS!Z22-BS!Y22)</f>
        <v>52129.3540070988</v>
      </c>
      <c r="AA23" s="60" t="n">
        <f aca="false">(BS!AA22-BS!Z22)</f>
        <v>-31368.6770035494</v>
      </c>
      <c r="AB23" s="60" t="n">
        <f aca="false">(BS!AB22-BS!AA22)</f>
        <v>-20760.6770035494</v>
      </c>
    </row>
    <row r="24" customFormat="false" ht="15" hidden="false" customHeight="false" outlineLevel="0" collapsed="false">
      <c r="A24" s="28" t="s">
        <v>428</v>
      </c>
      <c r="B24" s="58" t="s">
        <v>418</v>
      </c>
      <c r="C24" s="59" t="n">
        <f aca="false">SUM(E24:P24)</f>
        <v>-1916.30559999998</v>
      </c>
      <c r="D24" s="59" t="n">
        <f aca="false">SUM(Q24:AB24)</f>
        <v>18407.04663</v>
      </c>
      <c r="E24" s="60" t="n">
        <f aca="false">(BS!E23-Inputs_Actuals!$C$191)</f>
        <v>10550.13</v>
      </c>
      <c r="F24" s="60" t="n">
        <f aca="false">(BS!F23-BS!E23)</f>
        <v>10502.0958</v>
      </c>
      <c r="G24" s="60" t="n">
        <f aca="false">(BS!G23-BS!F23)</f>
        <v>-120869.9245</v>
      </c>
      <c r="H24" s="60" t="n">
        <f aca="false">(BS!H23-BS!G23)</f>
        <v>10964.0403</v>
      </c>
      <c r="I24" s="60" t="n">
        <f aca="false">(BS!I23-BS!H23)</f>
        <v>10504.5711</v>
      </c>
      <c r="J24" s="60" t="n">
        <f aca="false">(BS!J23-BS!I23)</f>
        <v>10496.8776</v>
      </c>
      <c r="K24" s="60" t="n">
        <f aca="false">(BS!K23-BS!J23)</f>
        <v>10778.5935</v>
      </c>
      <c r="L24" s="60" t="n">
        <f aca="false">(BS!L23-BS!K23)</f>
        <v>10836.0606</v>
      </c>
      <c r="M24" s="60" t="n">
        <f aca="false">(BS!M23-BS!L23)</f>
        <v>10710.69</v>
      </c>
      <c r="N24" s="60" t="n">
        <f aca="false">(BS!N23-BS!M23)</f>
        <v>11038.5</v>
      </c>
      <c r="O24" s="60" t="n">
        <f aca="false">(BS!O23-BS!N23)</f>
        <v>11286.03</v>
      </c>
      <c r="P24" s="60" t="n">
        <f aca="false">(BS!P23-BS!O23)</f>
        <v>11286.03</v>
      </c>
      <c r="Q24" s="60" t="n">
        <f aca="false">(BS!Q23-BS!P23)</f>
        <v>11948.0540025</v>
      </c>
      <c r="R24" s="60" t="n">
        <f aca="false">(BS!R23-BS!Q23)</f>
        <v>11948.0540025</v>
      </c>
      <c r="S24" s="60" t="n">
        <f aca="false">(BS!S23-BS!R23)</f>
        <v>-117526.5800175</v>
      </c>
      <c r="T24" s="60" t="n">
        <f aca="false">(BS!T23-BS!S23)</f>
        <v>12448.6131825</v>
      </c>
      <c r="U24" s="60" t="n">
        <f aca="false">(BS!U23-BS!T23)</f>
        <v>12448.6131825</v>
      </c>
      <c r="V24" s="60" t="n">
        <f aca="false">(BS!V23-BS!U23)</f>
        <v>12448.6131825</v>
      </c>
      <c r="W24" s="60" t="n">
        <f aca="false">(BS!W23-BS!V23)</f>
        <v>12448.6131825</v>
      </c>
      <c r="X24" s="60" t="n">
        <f aca="false">(BS!X23-BS!W23)</f>
        <v>12448.6131825</v>
      </c>
      <c r="Y24" s="60" t="n">
        <f aca="false">(BS!Y23-BS!X23)</f>
        <v>12448.6131825</v>
      </c>
      <c r="Z24" s="60" t="n">
        <f aca="false">(BS!Z23-BS!Y23)</f>
        <v>12448.6131825</v>
      </c>
      <c r="AA24" s="60" t="n">
        <f aca="false">(BS!AA23-BS!Z23)</f>
        <v>12448.6131825</v>
      </c>
      <c r="AB24" s="60" t="n">
        <f aca="false">(BS!AB23-BS!AA23)</f>
        <v>12448.6131825</v>
      </c>
    </row>
    <row r="25" customFormat="false" ht="15" hidden="false" customHeight="false" outlineLevel="0" collapsed="false">
      <c r="A25" s="68" t="s">
        <v>429</v>
      </c>
      <c r="B25" s="69"/>
      <c r="C25" s="70" t="n">
        <f aca="false">SUM(E25:P25)</f>
        <v>565032.64302922</v>
      </c>
      <c r="D25" s="70" t="n">
        <f aca="false">SUM(Q25:AB25)</f>
        <v>580921.144399064</v>
      </c>
      <c r="E25" s="70" t="n">
        <f aca="false">E13+E14+E15+E16+E17+E18+E19+E20+E21+E22+E23+E24</f>
        <v>12658.9304520026</v>
      </c>
      <c r="F25" s="70" t="n">
        <f aca="false">F13+F14+F15+F16+F17+F18+F19+F20+F21+F22+F23+F24</f>
        <v>188212.699749205</v>
      </c>
      <c r="G25" s="70" t="n">
        <f aca="false">G13+G14+G15+G16+G17+G18+G19+G20+G21+G22+G23+G24</f>
        <v>-89989.4230907051</v>
      </c>
      <c r="H25" s="70" t="n">
        <f aca="false">H13+H14+H15+H16+H17+H18+H19+H20+H21+H22+H23+H24</f>
        <v>-50129.156184544</v>
      </c>
      <c r="I25" s="70" t="n">
        <f aca="false">I13+I14+I15+I16+I17+I18+I19+I20+I21+I22+I23+I24</f>
        <v>84384.7792020092</v>
      </c>
      <c r="J25" s="70" t="n">
        <f aca="false">J13+J14+J15+J16+J17+J18+J19+J20+J21+J22+J23+J24</f>
        <v>-42236.3548295443</v>
      </c>
      <c r="K25" s="70" t="n">
        <f aca="false">K13+K14+K15+K16+K17+K18+K19+K20+K21+K22+K23+K24</f>
        <v>92870.8696544955</v>
      </c>
      <c r="L25" s="70" t="n">
        <f aca="false">L13+L14+L15+L16+L17+L18+L19+L20+L21+L22+L23+L24</f>
        <v>94730.0643907629</v>
      </c>
      <c r="M25" s="70" t="n">
        <f aca="false">M13+M14+M15+M16+M17+M18+M19+M20+M21+M22+M23+M24</f>
        <v>-22369.8098869209</v>
      </c>
      <c r="N25" s="70" t="n">
        <f aca="false">N13+N14+N15+N16+N17+N18+N19+N20+N21+N22+N23+N24</f>
        <v>90133.8693095198</v>
      </c>
      <c r="O25" s="70" t="n">
        <f aca="false">O13+O14+O15+O16+O17+O18+O19+O20+O21+O22+O23+O24</f>
        <v>156042.378741517</v>
      </c>
      <c r="P25" s="70" t="n">
        <f aca="false">P13+P14+P15+P16+P17+P18+P19+P20+P21+P22+P23+P24</f>
        <v>50723.7955214236</v>
      </c>
      <c r="Q25" s="70" t="n">
        <f aca="false">Q13+Q14+Q15+Q16+Q17+Q18+Q19+Q20+Q21+Q22+Q23+Q24</f>
        <v>35091.8777140525</v>
      </c>
      <c r="R25" s="70" t="n">
        <f aca="false">R13+R14+R15+R16+R17+R18+R19+R20+R21+R22+R23+R24</f>
        <v>160365.488027726</v>
      </c>
      <c r="S25" s="70" t="n">
        <f aca="false">S13+S14+S15+S16+S17+S18+S19+S20+S21+S22+S23+S24</f>
        <v>-106441.707730126</v>
      </c>
      <c r="T25" s="70" t="n">
        <f aca="false">T13+T14+T15+T16+T17+T18+T19+T20+T21+T22+T23+T24</f>
        <v>2001.35955872645</v>
      </c>
      <c r="U25" s="70" t="n">
        <f aca="false">U13+U14+U15+U16+U17+U18+U19+U20+U21+U22+U23+U24</f>
        <v>116639.311474159</v>
      </c>
      <c r="V25" s="70" t="n">
        <f aca="false">V13+V14+V15+V16+V17+V18+V19+V20+V21+V22+V23+V24</f>
        <v>39066.7096655363</v>
      </c>
      <c r="W25" s="70" t="n">
        <f aca="false">W13+W14+W15+W16+W17+W18+W19+W20+W21+W22+W23+W24</f>
        <v>62545.6930518042</v>
      </c>
      <c r="X25" s="70" t="n">
        <f aca="false">X13+X14+X15+X16+X17+X18+X19+X20+X21+X22+X23+X24</f>
        <v>107522.282433424</v>
      </c>
      <c r="Y25" s="70" t="n">
        <f aca="false">Y13+Y14+Y15+Y16+Y17+Y18+Y19+Y20+Y21+Y22+Y23+Y24</f>
        <v>24977.8424339148</v>
      </c>
      <c r="Z25" s="70" t="n">
        <f aca="false">Z13+Z14+Z15+Z16+Z17+Z18+Z19+Z20+Z21+Z22+Z23+Z24</f>
        <v>35989.1498426296</v>
      </c>
      <c r="AA25" s="70" t="n">
        <f aca="false">AA13+AA14+AA15+AA16+AA17+AA18+AA19+AA20+AA21+AA22+AA23+AA24</f>
        <v>103559.538102649</v>
      </c>
      <c r="AB25" s="70" t="n">
        <f aca="false">AB13+AB14+AB15+AB16+AB17+AB18+AB19+AB20+AB21+AB22+AB23+AB24</f>
        <v>-396.400175431849</v>
      </c>
    </row>
    <row r="26" customFormat="false" ht="15" hidden="false" customHeight="false" outlineLevel="0" collapsed="false">
      <c r="A26" s="28" t="s">
        <v>430</v>
      </c>
      <c r="B26" s="58" t="s">
        <v>77</v>
      </c>
      <c r="C26" s="59" t="n">
        <f aca="false">SUM(E26:P26)</f>
        <v>-5124</v>
      </c>
      <c r="D26" s="59" t="n">
        <f aca="false">SUM(Q26:AB26)</f>
        <v>-3108</v>
      </c>
      <c r="E26" s="60" t="n">
        <f aca="false">-Financing!E12</f>
        <v>-504</v>
      </c>
      <c r="F26" s="60" t="n">
        <f aca="false">-Financing!F12</f>
        <v>-490</v>
      </c>
      <c r="G26" s="60" t="n">
        <f aca="false">-Financing!G12</f>
        <v>-476</v>
      </c>
      <c r="H26" s="60" t="n">
        <f aca="false">-Financing!H12</f>
        <v>-462</v>
      </c>
      <c r="I26" s="60" t="n">
        <f aca="false">-Financing!I12</f>
        <v>-448</v>
      </c>
      <c r="J26" s="60" t="n">
        <f aca="false">-Financing!J12</f>
        <v>-434</v>
      </c>
      <c r="K26" s="60" t="n">
        <f aca="false">-Financing!K12</f>
        <v>-420</v>
      </c>
      <c r="L26" s="60" t="n">
        <f aca="false">-Financing!L12</f>
        <v>-406</v>
      </c>
      <c r="M26" s="60" t="n">
        <f aca="false">-Financing!M12</f>
        <v>-392</v>
      </c>
      <c r="N26" s="60" t="n">
        <f aca="false">-Financing!N12</f>
        <v>-378</v>
      </c>
      <c r="O26" s="60" t="n">
        <f aca="false">-Financing!O12</f>
        <v>-364</v>
      </c>
      <c r="P26" s="60" t="n">
        <f aca="false">-Financing!P12</f>
        <v>-350</v>
      </c>
      <c r="Q26" s="60" t="n">
        <f aca="false">-Financing!Q12</f>
        <v>-336</v>
      </c>
      <c r="R26" s="60" t="n">
        <f aca="false">-Financing!R12</f>
        <v>-322</v>
      </c>
      <c r="S26" s="60" t="n">
        <f aca="false">-Financing!S12</f>
        <v>-308</v>
      </c>
      <c r="T26" s="60" t="n">
        <f aca="false">-Financing!T12</f>
        <v>-294</v>
      </c>
      <c r="U26" s="60" t="n">
        <f aca="false">-Financing!U12</f>
        <v>-280</v>
      </c>
      <c r="V26" s="60" t="n">
        <f aca="false">-Financing!V12</f>
        <v>-266</v>
      </c>
      <c r="W26" s="60" t="n">
        <f aca="false">-Financing!W12</f>
        <v>-252</v>
      </c>
      <c r="X26" s="60" t="n">
        <f aca="false">-Financing!X12</f>
        <v>-238</v>
      </c>
      <c r="Y26" s="60" t="n">
        <f aca="false">-Financing!Y12</f>
        <v>-224</v>
      </c>
      <c r="Z26" s="60" t="n">
        <f aca="false">-Financing!Z12</f>
        <v>-210</v>
      </c>
      <c r="AA26" s="60" t="n">
        <f aca="false">-Financing!AA12</f>
        <v>-196</v>
      </c>
      <c r="AB26" s="60" t="n">
        <f aca="false">-Financing!AB12</f>
        <v>-182</v>
      </c>
    </row>
    <row r="27" customFormat="false" ht="15" hidden="false" customHeight="false" outlineLevel="0" collapsed="false">
      <c r="A27" s="28" t="s">
        <v>431</v>
      </c>
      <c r="B27" s="58" t="s">
        <v>77</v>
      </c>
      <c r="C27" s="59" t="n">
        <f aca="false">SUM(E27:P27)</f>
        <v>-78974.36</v>
      </c>
      <c r="D27" s="59" t="n">
        <f aca="false">SUM(Q27:AB27)</f>
        <v>-60426.4247098848</v>
      </c>
      <c r="E27" s="60" t="n">
        <f aca="false">Financing!E19</f>
        <v>-0</v>
      </c>
      <c r="F27" s="60" t="n">
        <f aca="false">Financing!F19</f>
        <v>-0</v>
      </c>
      <c r="G27" s="60" t="n">
        <f aca="false">Financing!G19</f>
        <v>-0</v>
      </c>
      <c r="H27" s="60" t="n">
        <f aca="false">Financing!H19</f>
        <v>-0</v>
      </c>
      <c r="I27" s="60" t="n">
        <f aca="false">Financing!I19</f>
        <v>-0</v>
      </c>
      <c r="J27" s="60" t="n">
        <f aca="false">Financing!J19</f>
        <v>-0</v>
      </c>
      <c r="K27" s="60" t="n">
        <f aca="false">Financing!K19</f>
        <v>-78974.36</v>
      </c>
      <c r="L27" s="60" t="n">
        <f aca="false">Financing!L19</f>
        <v>-0</v>
      </c>
      <c r="M27" s="60" t="n">
        <f aca="false">Financing!M19</f>
        <v>-0</v>
      </c>
      <c r="N27" s="60" t="n">
        <f aca="false">Financing!N19</f>
        <v>-0</v>
      </c>
      <c r="O27" s="60" t="n">
        <f aca="false">Financing!O19</f>
        <v>-0</v>
      </c>
      <c r="P27" s="60" t="n">
        <f aca="false">Financing!P19</f>
        <v>-0</v>
      </c>
      <c r="Q27" s="60" t="n">
        <f aca="false">Financing!Q19</f>
        <v>-0</v>
      </c>
      <c r="R27" s="60" t="n">
        <f aca="false">Financing!R19</f>
        <v>-0</v>
      </c>
      <c r="S27" s="60" t="n">
        <f aca="false">Financing!S19</f>
        <v>-0</v>
      </c>
      <c r="T27" s="60" t="n">
        <f aca="false">Financing!T19</f>
        <v>-0</v>
      </c>
      <c r="U27" s="60" t="n">
        <f aca="false">Financing!U19</f>
        <v>-0</v>
      </c>
      <c r="V27" s="60" t="n">
        <f aca="false">Financing!V19</f>
        <v>-0</v>
      </c>
      <c r="W27" s="60" t="n">
        <f aca="false">Financing!W19</f>
        <v>-60426.4247098848</v>
      </c>
      <c r="X27" s="60" t="n">
        <f aca="false">Financing!X19</f>
        <v>-0</v>
      </c>
      <c r="Y27" s="60" t="n">
        <f aca="false">Financing!Y19</f>
        <v>-0</v>
      </c>
      <c r="Z27" s="60" t="n">
        <f aca="false">Financing!Z19</f>
        <v>-0</v>
      </c>
      <c r="AA27" s="60" t="n">
        <f aca="false">Financing!AA19</f>
        <v>-0</v>
      </c>
      <c r="AB27" s="60" t="n">
        <f aca="false">Financing!AB19</f>
        <v>-0</v>
      </c>
    </row>
    <row r="28" customFormat="false" ht="15" hidden="false" customHeight="false" outlineLevel="0" collapsed="false">
      <c r="A28" s="68" t="s">
        <v>432</v>
      </c>
      <c r="B28" s="69"/>
      <c r="C28" s="70" t="n">
        <f aca="false">SUM(E28:P28)</f>
        <v>480934.28302922</v>
      </c>
      <c r="D28" s="70" t="n">
        <f aca="false">SUM(Q28:AB28)</f>
        <v>517386.71968918</v>
      </c>
      <c r="E28" s="70" t="n">
        <f aca="false">E25+E26+E27</f>
        <v>12154.9304520026</v>
      </c>
      <c r="F28" s="70" t="n">
        <f aca="false">F25+F26+F27</f>
        <v>187722.699749205</v>
      </c>
      <c r="G28" s="70" t="n">
        <f aca="false">G25+G26+G27</f>
        <v>-90465.4230907051</v>
      </c>
      <c r="H28" s="70" t="n">
        <f aca="false">H25+H26+H27</f>
        <v>-50591.156184544</v>
      </c>
      <c r="I28" s="70" t="n">
        <f aca="false">I25+I26+I27</f>
        <v>83936.7792020092</v>
      </c>
      <c r="J28" s="70" t="n">
        <f aca="false">J25+J26+J27</f>
        <v>-42670.3548295443</v>
      </c>
      <c r="K28" s="70" t="n">
        <f aca="false">K25+K26+K27</f>
        <v>13476.5096544955</v>
      </c>
      <c r="L28" s="70" t="n">
        <f aca="false">L25+L26+L27</f>
        <v>94324.0643907629</v>
      </c>
      <c r="M28" s="70" t="n">
        <f aca="false">M25+M26+M27</f>
        <v>-22761.8098869209</v>
      </c>
      <c r="N28" s="70" t="n">
        <f aca="false">N25+N26+N27</f>
        <v>89755.8693095198</v>
      </c>
      <c r="O28" s="70" t="n">
        <f aca="false">O25+O26+O27</f>
        <v>155678.378741517</v>
      </c>
      <c r="P28" s="70" t="n">
        <f aca="false">P25+P26+P27</f>
        <v>50373.7955214236</v>
      </c>
      <c r="Q28" s="70" t="n">
        <f aca="false">Q25+Q26+Q27</f>
        <v>34755.8777140525</v>
      </c>
      <c r="R28" s="70" t="n">
        <f aca="false">R25+R26+R27</f>
        <v>160043.488027726</v>
      </c>
      <c r="S28" s="70" t="n">
        <f aca="false">S25+S26+S27</f>
        <v>-106749.707730126</v>
      </c>
      <c r="T28" s="70" t="n">
        <f aca="false">T25+T26+T27</f>
        <v>1707.35955872645</v>
      </c>
      <c r="U28" s="70" t="n">
        <f aca="false">U25+U26+U27</f>
        <v>116359.311474159</v>
      </c>
      <c r="V28" s="70" t="n">
        <f aca="false">V25+V26+V27</f>
        <v>38800.7096655363</v>
      </c>
      <c r="W28" s="70" t="n">
        <f aca="false">W25+W26+W27</f>
        <v>1867.2683419194</v>
      </c>
      <c r="X28" s="70" t="n">
        <f aca="false">X25+X26+X27</f>
        <v>107284.282433424</v>
      </c>
      <c r="Y28" s="70" t="n">
        <f aca="false">Y25+Y26+Y27</f>
        <v>24753.8424339148</v>
      </c>
      <c r="Z28" s="70" t="n">
        <f aca="false">Z25+Z26+Z27</f>
        <v>35779.1498426296</v>
      </c>
      <c r="AA28" s="70" t="n">
        <f aca="false">AA25+AA26+AA27</f>
        <v>103363.538102649</v>
      </c>
      <c r="AB28" s="70" t="n">
        <f aca="false">AB25+AB26+AB27</f>
        <v>-578.400175431849</v>
      </c>
    </row>
    <row r="29" customFormat="false" ht="15" hidden="false" customHeight="false" outlineLevel="0" collapsed="false">
      <c r="A29" s="22" t="s">
        <v>433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customFormat="false" ht="15" hidden="false" customHeight="false" outlineLevel="0" collapsed="false">
      <c r="A30" s="28" t="s">
        <v>434</v>
      </c>
      <c r="B30" s="58" t="s">
        <v>75</v>
      </c>
      <c r="C30" s="59" t="n">
        <f aca="false">SUM(E30:P30)</f>
        <v>-38400</v>
      </c>
      <c r="D30" s="59" t="n">
        <f aca="false">SUM(Q30:AB30)</f>
        <v>-75922</v>
      </c>
      <c r="E30" s="60" t="n">
        <f aca="false">-Fixed_Assets!E25</f>
        <v>-2600</v>
      </c>
      <c r="F30" s="60" t="n">
        <f aca="false">-Fixed_Assets!F25</f>
        <v>-1400</v>
      </c>
      <c r="G30" s="60" t="n">
        <f aca="false">-Fixed_Assets!G25</f>
        <v>-3100</v>
      </c>
      <c r="H30" s="60" t="n">
        <f aca="false">-Fixed_Assets!H25</f>
        <v>-5200</v>
      </c>
      <c r="I30" s="60" t="n">
        <f aca="false">-Fixed_Assets!I25</f>
        <v>-900</v>
      </c>
      <c r="J30" s="60" t="n">
        <f aca="false">-Fixed_Assets!J25</f>
        <v>-2400</v>
      </c>
      <c r="K30" s="60" t="n">
        <f aca="false">-Fixed_Assets!K25</f>
        <v>-4800</v>
      </c>
      <c r="L30" s="60" t="n">
        <f aca="false">-Fixed_Assets!L25</f>
        <v>-1600</v>
      </c>
      <c r="M30" s="60" t="n">
        <f aca="false">-Fixed_Assets!M25</f>
        <v>-2800</v>
      </c>
      <c r="N30" s="60" t="n">
        <f aca="false">-Fixed_Assets!N25</f>
        <v>-5400</v>
      </c>
      <c r="O30" s="60" t="n">
        <f aca="false">-Fixed_Assets!O25</f>
        <v>-5400</v>
      </c>
      <c r="P30" s="60" t="n">
        <f aca="false">-Fixed_Assets!P25</f>
        <v>-2800</v>
      </c>
      <c r="Q30" s="60" t="n">
        <f aca="false">-Fixed_Assets!Q25</f>
        <v>-4096</v>
      </c>
      <c r="R30" s="60" t="n">
        <f aca="false">-Fixed_Assets!R25</f>
        <v>-2926</v>
      </c>
      <c r="S30" s="60" t="n">
        <f aca="false">-Fixed_Assets!S25</f>
        <v>-39966</v>
      </c>
      <c r="T30" s="60" t="n">
        <f aca="false">-Fixed_Assets!T25</f>
        <v>-5526</v>
      </c>
      <c r="U30" s="60" t="n">
        <f aca="false">-Fixed_Assets!U25</f>
        <v>-2926</v>
      </c>
      <c r="V30" s="60" t="n">
        <f aca="false">-Fixed_Assets!V25</f>
        <v>-2926</v>
      </c>
      <c r="W30" s="60" t="n">
        <f aca="false">-Fixed_Assets!W25</f>
        <v>-2926</v>
      </c>
      <c r="X30" s="60" t="n">
        <f aca="false">-Fixed_Assets!X25</f>
        <v>-2926</v>
      </c>
      <c r="Y30" s="60" t="n">
        <f aca="false">-Fixed_Assets!Y25</f>
        <v>-2926</v>
      </c>
      <c r="Z30" s="60" t="n">
        <f aca="false">-Fixed_Assets!Z25</f>
        <v>-2926</v>
      </c>
      <c r="AA30" s="60" t="n">
        <f aca="false">-Fixed_Assets!AA25</f>
        <v>-2926</v>
      </c>
      <c r="AB30" s="60" t="n">
        <f aca="false">-Fixed_Assets!AB25</f>
        <v>-2926</v>
      </c>
    </row>
    <row r="31" customFormat="false" ht="15" hidden="false" customHeight="false" outlineLevel="0" collapsed="false">
      <c r="A31" s="22" t="s">
        <v>435</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row>
    <row r="32" customFormat="false" ht="15" hidden="false" customHeight="false" outlineLevel="0" collapsed="false">
      <c r="A32" s="28" t="s">
        <v>436</v>
      </c>
      <c r="B32" s="58" t="s">
        <v>77</v>
      </c>
      <c r="C32" s="59" t="n">
        <f aca="false">SUM(E32:P32)</f>
        <v>-36000</v>
      </c>
      <c r="D32" s="59" t="n">
        <f aca="false">SUM(Q32:AB32)</f>
        <v>-36000</v>
      </c>
      <c r="E32" s="60" t="n">
        <f aca="false">Financing!E10</f>
        <v>-3000</v>
      </c>
      <c r="F32" s="60" t="n">
        <f aca="false">Financing!F10</f>
        <v>-3000</v>
      </c>
      <c r="G32" s="60" t="n">
        <f aca="false">Financing!G10</f>
        <v>-3000</v>
      </c>
      <c r="H32" s="60" t="n">
        <f aca="false">Financing!H10</f>
        <v>-3000</v>
      </c>
      <c r="I32" s="60" t="n">
        <f aca="false">Financing!I10</f>
        <v>-3000</v>
      </c>
      <c r="J32" s="60" t="n">
        <f aca="false">Financing!J10</f>
        <v>-3000</v>
      </c>
      <c r="K32" s="60" t="n">
        <f aca="false">Financing!K10</f>
        <v>-3000</v>
      </c>
      <c r="L32" s="60" t="n">
        <f aca="false">Financing!L10</f>
        <v>-3000</v>
      </c>
      <c r="M32" s="60" t="n">
        <f aca="false">Financing!M10</f>
        <v>-3000</v>
      </c>
      <c r="N32" s="60" t="n">
        <f aca="false">Financing!N10</f>
        <v>-3000</v>
      </c>
      <c r="O32" s="60" t="n">
        <f aca="false">Financing!O10</f>
        <v>-3000</v>
      </c>
      <c r="P32" s="60" t="n">
        <f aca="false">Financing!P10</f>
        <v>-3000</v>
      </c>
      <c r="Q32" s="60" t="n">
        <f aca="false">Financing!Q10</f>
        <v>-3000</v>
      </c>
      <c r="R32" s="60" t="n">
        <f aca="false">Financing!R10</f>
        <v>-3000</v>
      </c>
      <c r="S32" s="60" t="n">
        <f aca="false">Financing!S10</f>
        <v>-3000</v>
      </c>
      <c r="T32" s="60" t="n">
        <f aca="false">Financing!T10</f>
        <v>-3000</v>
      </c>
      <c r="U32" s="60" t="n">
        <f aca="false">Financing!U10</f>
        <v>-3000</v>
      </c>
      <c r="V32" s="60" t="n">
        <f aca="false">Financing!V10</f>
        <v>-3000</v>
      </c>
      <c r="W32" s="60" t="n">
        <f aca="false">Financing!W10</f>
        <v>-3000</v>
      </c>
      <c r="X32" s="60" t="n">
        <f aca="false">Financing!X10</f>
        <v>-3000</v>
      </c>
      <c r="Y32" s="60" t="n">
        <f aca="false">Financing!Y10</f>
        <v>-3000</v>
      </c>
      <c r="Z32" s="60" t="n">
        <f aca="false">Financing!Z10</f>
        <v>-3000</v>
      </c>
      <c r="AA32" s="60" t="n">
        <f aca="false">Financing!AA10</f>
        <v>-3000</v>
      </c>
      <c r="AB32" s="60" t="n">
        <f aca="false">Financing!AB10</f>
        <v>-3000</v>
      </c>
    </row>
    <row r="33" customFormat="false" ht="15" hidden="false" customHeight="false" outlineLevel="0" collapsed="false">
      <c r="A33" s="28" t="s">
        <v>437</v>
      </c>
      <c r="B33" s="58" t="s">
        <v>77</v>
      </c>
      <c r="C33" s="59" t="n">
        <f aca="false">SUM(E33:P33)</f>
        <v>-280000</v>
      </c>
      <c r="D33" s="59" t="n">
        <f aca="false">SUM(Q33:AB33)</f>
        <v>-214239.142153228</v>
      </c>
      <c r="E33" s="60" t="n">
        <f aca="false">-Financing!E16</f>
        <v>-0</v>
      </c>
      <c r="F33" s="60" t="n">
        <f aca="false">-Financing!F16</f>
        <v>-0</v>
      </c>
      <c r="G33" s="60" t="n">
        <f aca="false">-Financing!G16</f>
        <v>-0</v>
      </c>
      <c r="H33" s="60" t="n">
        <f aca="false">-Financing!H16</f>
        <v>-0</v>
      </c>
      <c r="I33" s="60" t="n">
        <f aca="false">-Financing!I16</f>
        <v>-0</v>
      </c>
      <c r="J33" s="60" t="n">
        <f aca="false">-Financing!J16</f>
        <v>-280000</v>
      </c>
      <c r="K33" s="60" t="n">
        <f aca="false">-Financing!K16</f>
        <v>-0</v>
      </c>
      <c r="L33" s="60" t="n">
        <f aca="false">-Financing!L16</f>
        <v>-0</v>
      </c>
      <c r="M33" s="60" t="n">
        <f aca="false">-Financing!M16</f>
        <v>-0</v>
      </c>
      <c r="N33" s="60" t="n">
        <f aca="false">-Financing!N16</f>
        <v>-0</v>
      </c>
      <c r="O33" s="60" t="n">
        <f aca="false">-Financing!O16</f>
        <v>-0</v>
      </c>
      <c r="P33" s="60" t="n">
        <f aca="false">-Financing!P16</f>
        <v>-0</v>
      </c>
      <c r="Q33" s="60" t="n">
        <f aca="false">-Financing!Q16</f>
        <v>-0</v>
      </c>
      <c r="R33" s="60" t="n">
        <f aca="false">-Financing!R16</f>
        <v>-0</v>
      </c>
      <c r="S33" s="60" t="n">
        <f aca="false">-Financing!S16</f>
        <v>-0</v>
      </c>
      <c r="T33" s="60" t="n">
        <f aca="false">-Financing!T16</f>
        <v>-0</v>
      </c>
      <c r="U33" s="60" t="n">
        <f aca="false">-Financing!U16</f>
        <v>-0</v>
      </c>
      <c r="V33" s="60" t="n">
        <f aca="false">-Financing!V16</f>
        <v>-214239.142153228</v>
      </c>
      <c r="W33" s="60" t="n">
        <f aca="false">-Financing!W16</f>
        <v>-0</v>
      </c>
      <c r="X33" s="60" t="n">
        <f aca="false">-Financing!X16</f>
        <v>-0</v>
      </c>
      <c r="Y33" s="60" t="n">
        <f aca="false">-Financing!Y16</f>
        <v>-0</v>
      </c>
      <c r="Z33" s="60" t="n">
        <f aca="false">-Financing!Z16</f>
        <v>-0</v>
      </c>
      <c r="AA33" s="60" t="n">
        <f aca="false">-Financing!AA16</f>
        <v>-0</v>
      </c>
      <c r="AB33" s="60" t="n">
        <f aca="false">-Financing!AB16</f>
        <v>-0</v>
      </c>
    </row>
    <row r="34" customFormat="false" ht="15" hidden="false" customHeight="false" outlineLevel="0" collapsed="false">
      <c r="A34" s="68" t="s">
        <v>438</v>
      </c>
      <c r="B34" s="69"/>
      <c r="C34" s="70" t="n">
        <f aca="false">SUM(E34:P34)</f>
        <v>-316000</v>
      </c>
      <c r="D34" s="70" t="n">
        <f aca="false">SUM(Q34:AB34)</f>
        <v>-250239.142153228</v>
      </c>
      <c r="E34" s="70" t="n">
        <f aca="false">E32+E33</f>
        <v>-3000</v>
      </c>
      <c r="F34" s="70" t="n">
        <f aca="false">F32+F33</f>
        <v>-3000</v>
      </c>
      <c r="G34" s="70" t="n">
        <f aca="false">G32+G33</f>
        <v>-3000</v>
      </c>
      <c r="H34" s="70" t="n">
        <f aca="false">H32+H33</f>
        <v>-3000</v>
      </c>
      <c r="I34" s="70" t="n">
        <f aca="false">I32+I33</f>
        <v>-3000</v>
      </c>
      <c r="J34" s="70" t="n">
        <f aca="false">J32+J33</f>
        <v>-283000</v>
      </c>
      <c r="K34" s="70" t="n">
        <f aca="false">K32+K33</f>
        <v>-3000</v>
      </c>
      <c r="L34" s="70" t="n">
        <f aca="false">L32+L33</f>
        <v>-3000</v>
      </c>
      <c r="M34" s="70" t="n">
        <f aca="false">M32+M33</f>
        <v>-3000</v>
      </c>
      <c r="N34" s="70" t="n">
        <f aca="false">N32+N33</f>
        <v>-3000</v>
      </c>
      <c r="O34" s="70" t="n">
        <f aca="false">O32+O33</f>
        <v>-3000</v>
      </c>
      <c r="P34" s="70" t="n">
        <f aca="false">P32+P33</f>
        <v>-3000</v>
      </c>
      <c r="Q34" s="70" t="n">
        <f aca="false">Q32+Q33</f>
        <v>-3000</v>
      </c>
      <c r="R34" s="70" t="n">
        <f aca="false">R32+R33</f>
        <v>-3000</v>
      </c>
      <c r="S34" s="70" t="n">
        <f aca="false">S32+S33</f>
        <v>-3000</v>
      </c>
      <c r="T34" s="70" t="n">
        <f aca="false">T32+T33</f>
        <v>-3000</v>
      </c>
      <c r="U34" s="70" t="n">
        <f aca="false">U32+U33</f>
        <v>-3000</v>
      </c>
      <c r="V34" s="70" t="n">
        <f aca="false">V32+V33</f>
        <v>-217239.142153228</v>
      </c>
      <c r="W34" s="70" t="n">
        <f aca="false">W32+W33</f>
        <v>-3000</v>
      </c>
      <c r="X34" s="70" t="n">
        <f aca="false">X32+X33</f>
        <v>-3000</v>
      </c>
      <c r="Y34" s="70" t="n">
        <f aca="false">Y32+Y33</f>
        <v>-3000</v>
      </c>
      <c r="Z34" s="70" t="n">
        <f aca="false">Z32+Z33</f>
        <v>-3000</v>
      </c>
      <c r="AA34" s="70" t="n">
        <f aca="false">AA32+AA33</f>
        <v>-3000</v>
      </c>
      <c r="AB34" s="70" t="n">
        <f aca="false">AB32+AB33</f>
        <v>-3000</v>
      </c>
    </row>
    <row r="35" customFormat="false" ht="15" hidden="false" customHeight="false" outlineLevel="0" collapsed="false">
      <c r="A35" s="22" t="s">
        <v>439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row>
    <row r="36" customFormat="false" ht="15" hidden="false" customHeight="false" outlineLevel="0" collapsed="false">
      <c r="A36" s="68" t="s">
        <v>440</v>
      </c>
      <c r="B36" s="69"/>
      <c r="C36" s="70" t="n">
        <f aca="false">SUM(E36:P36)</f>
        <v>126534.28302922</v>
      </c>
      <c r="D36" s="70" t="n">
        <f aca="false">SUM(Q36:AB36)</f>
        <v>191225.577535952</v>
      </c>
      <c r="E36" s="70" t="n">
        <f aca="false">E28+E30+E34</f>
        <v>6554.93045200258</v>
      </c>
      <c r="F36" s="70" t="n">
        <f aca="false">F28+F30+F34</f>
        <v>183322.699749205</v>
      </c>
      <c r="G36" s="70" t="n">
        <f aca="false">G28+G30+G34</f>
        <v>-96565.4230907051</v>
      </c>
      <c r="H36" s="70" t="n">
        <f aca="false">H28+H30+H34</f>
        <v>-58791.156184544</v>
      </c>
      <c r="I36" s="70" t="n">
        <f aca="false">I28+I30+I34</f>
        <v>80036.7792020092</v>
      </c>
      <c r="J36" s="70" t="n">
        <f aca="false">J28+J30+J34</f>
        <v>-328070.354829544</v>
      </c>
      <c r="K36" s="70" t="n">
        <f aca="false">K28+K30+K34</f>
        <v>5676.50965449549</v>
      </c>
      <c r="L36" s="70" t="n">
        <f aca="false">L28+L30+L34</f>
        <v>89724.0643907629</v>
      </c>
      <c r="M36" s="70" t="n">
        <f aca="false">M28+M30+M34</f>
        <v>-28561.8098869209</v>
      </c>
      <c r="N36" s="70" t="n">
        <f aca="false">N28+N30+N34</f>
        <v>81355.8693095198</v>
      </c>
      <c r="O36" s="70" t="n">
        <f aca="false">O28+O30+O34</f>
        <v>147278.378741517</v>
      </c>
      <c r="P36" s="70" t="n">
        <f aca="false">P28+P30+P34</f>
        <v>44573.7955214236</v>
      </c>
      <c r="Q36" s="70" t="n">
        <f aca="false">Q28+Q30+Q34</f>
        <v>27659.8777140525</v>
      </c>
      <c r="R36" s="70" t="n">
        <f aca="false">R28+R30+R34</f>
        <v>154117.488027726</v>
      </c>
      <c r="S36" s="70" t="n">
        <f aca="false">S28+S30+S34</f>
        <v>-149715.707730126</v>
      </c>
      <c r="T36" s="70" t="n">
        <f aca="false">T28+T30+T34</f>
        <v>-6818.64044127355</v>
      </c>
      <c r="U36" s="70" t="n">
        <f aca="false">U28+U30+U34</f>
        <v>110433.311474159</v>
      </c>
      <c r="V36" s="70" t="n">
        <f aca="false">V28+V30+V34</f>
        <v>-181364.432487691</v>
      </c>
      <c r="W36" s="70" t="n">
        <f aca="false">W28+W30+W34</f>
        <v>-4058.7316580806</v>
      </c>
      <c r="X36" s="70" t="n">
        <f aca="false">X28+X30+X34</f>
        <v>101358.282433424</v>
      </c>
      <c r="Y36" s="70" t="n">
        <f aca="false">Y28+Y30+Y34</f>
        <v>18827.8424339148</v>
      </c>
      <c r="Z36" s="70" t="n">
        <f aca="false">Z28+Z30+Z34</f>
        <v>29853.1498426296</v>
      </c>
      <c r="AA36" s="70" t="n">
        <f aca="false">AA28+AA30+AA34</f>
        <v>97437.538102649</v>
      </c>
      <c r="AB36" s="70" t="n">
        <f aca="false">AB28+AB30+AB34</f>
        <v>-6504.40017543185</v>
      </c>
    </row>
    <row r="37" customFormat="false" ht="15" hidden="false" customHeight="false" outlineLevel="0" collapsed="false">
      <c r="A37" s="28" t="s">
        <v>441</v>
      </c>
      <c r="B37" s="58"/>
      <c r="E37" s="60" t="n">
        <f aca="false">Inputs_Actuals!$C$179</f>
        <v>486000</v>
      </c>
      <c r="F37" s="71" t="n">
        <f aca="false">E38</f>
        <v>492554.930452003</v>
      </c>
      <c r="G37" s="71" t="n">
        <f aca="false">F38</f>
        <v>675877.630201207</v>
      </c>
      <c r="H37" s="71" t="n">
        <f aca="false">G38</f>
        <v>579312.207110502</v>
      </c>
      <c r="I37" s="71" t="n">
        <f aca="false">H38</f>
        <v>520521.050925958</v>
      </c>
      <c r="J37" s="71" t="n">
        <f aca="false">I38</f>
        <v>600557.830127967</v>
      </c>
      <c r="K37" s="71" t="n">
        <f aca="false">J38</f>
        <v>272487.475298423</v>
      </c>
      <c r="L37" s="71" t="n">
        <f aca="false">K38</f>
        <v>278163.984952918</v>
      </c>
      <c r="M37" s="71" t="n">
        <f aca="false">L38</f>
        <v>367888.049343681</v>
      </c>
      <c r="N37" s="71" t="n">
        <f aca="false">M38</f>
        <v>339326.23945676</v>
      </c>
      <c r="O37" s="71" t="n">
        <f aca="false">N38</f>
        <v>420682.10876628</v>
      </c>
      <c r="P37" s="71" t="n">
        <f aca="false">O38</f>
        <v>567960.487507797</v>
      </c>
      <c r="Q37" s="71" t="n">
        <f aca="false">P38</f>
        <v>612534.28302922</v>
      </c>
      <c r="R37" s="71" t="n">
        <f aca="false">Q38</f>
        <v>640194.160743273</v>
      </c>
      <c r="S37" s="71" t="n">
        <f aca="false">R38</f>
        <v>794311.648770999</v>
      </c>
      <c r="T37" s="71" t="n">
        <f aca="false">S38</f>
        <v>644595.941040873</v>
      </c>
      <c r="U37" s="71" t="n">
        <f aca="false">T38</f>
        <v>637777.3005996</v>
      </c>
      <c r="V37" s="71" t="n">
        <f aca="false">U38</f>
        <v>748210.612073758</v>
      </c>
      <c r="W37" s="71" t="n">
        <f aca="false">V38</f>
        <v>566846.179586067</v>
      </c>
      <c r="X37" s="71" t="n">
        <f aca="false">W38</f>
        <v>562787.447927986</v>
      </c>
      <c r="Y37" s="71" t="n">
        <f aca="false">X38</f>
        <v>664145.73036141</v>
      </c>
      <c r="Z37" s="71" t="n">
        <f aca="false">Y38</f>
        <v>682973.572795325</v>
      </c>
      <c r="AA37" s="71" t="n">
        <f aca="false">Z38</f>
        <v>712826.722637955</v>
      </c>
      <c r="AB37" s="71" t="n">
        <f aca="false">AA38</f>
        <v>810264.260740604</v>
      </c>
    </row>
    <row r="38" customFormat="false" ht="15" hidden="false" customHeight="false" outlineLevel="0" collapsed="false">
      <c r="A38" s="68" t="s">
        <v>442</v>
      </c>
      <c r="B38" s="69"/>
      <c r="C38" s="70" t="n">
        <f aca="false">P38</f>
        <v>612534.28302922</v>
      </c>
      <c r="D38" s="70" t="n">
        <f aca="false">AB38</f>
        <v>803759.860565172</v>
      </c>
      <c r="E38" s="70" t="n">
        <f aca="false">E37+E36</f>
        <v>492554.930452003</v>
      </c>
      <c r="F38" s="70" t="n">
        <f aca="false">F37+F36</f>
        <v>675877.630201207</v>
      </c>
      <c r="G38" s="70" t="n">
        <f aca="false">G37+G36</f>
        <v>579312.207110502</v>
      </c>
      <c r="H38" s="70" t="n">
        <f aca="false">H37+H36</f>
        <v>520521.050925958</v>
      </c>
      <c r="I38" s="70" t="n">
        <f aca="false">I37+I36</f>
        <v>600557.830127967</v>
      </c>
      <c r="J38" s="70" t="n">
        <f aca="false">J37+J36</f>
        <v>272487.475298423</v>
      </c>
      <c r="K38" s="70" t="n">
        <f aca="false">K37+K36</f>
        <v>278163.984952918</v>
      </c>
      <c r="L38" s="70" t="n">
        <f aca="false">L37+L36</f>
        <v>367888.049343681</v>
      </c>
      <c r="M38" s="70" t="n">
        <f aca="false">M37+M36</f>
        <v>339326.23945676</v>
      </c>
      <c r="N38" s="70" t="n">
        <f aca="false">N37+N36</f>
        <v>420682.10876628</v>
      </c>
      <c r="O38" s="70" t="n">
        <f aca="false">O37+O36</f>
        <v>567960.487507797</v>
      </c>
      <c r="P38" s="70" t="n">
        <f aca="false">P37+P36</f>
        <v>612534.28302922</v>
      </c>
      <c r="Q38" s="70" t="n">
        <f aca="false">Q37+Q36</f>
        <v>640194.160743273</v>
      </c>
      <c r="R38" s="70" t="n">
        <f aca="false">R37+R36</f>
        <v>794311.648770999</v>
      </c>
      <c r="S38" s="70" t="n">
        <f aca="false">S37+S36</f>
        <v>644595.941040873</v>
      </c>
      <c r="T38" s="70" t="n">
        <f aca="false">T37+T36</f>
        <v>637777.3005996</v>
      </c>
      <c r="U38" s="70" t="n">
        <f aca="false">U37+U36</f>
        <v>748210.612073758</v>
      </c>
      <c r="V38" s="70" t="n">
        <f aca="false">V37+V36</f>
        <v>566846.179586067</v>
      </c>
      <c r="W38" s="70" t="n">
        <f aca="false">W37+W36</f>
        <v>562787.447927986</v>
      </c>
      <c r="X38" s="70" t="n">
        <f aca="false">X37+X36</f>
        <v>664145.73036141</v>
      </c>
      <c r="Y38" s="70" t="n">
        <f aca="false">Y37+Y36</f>
        <v>682973.572795325</v>
      </c>
      <c r="Z38" s="70" t="n">
        <f aca="false">Z37+Z36</f>
        <v>712826.722637955</v>
      </c>
      <c r="AA38" s="70" t="n">
        <f aca="false">AA37+AA36</f>
        <v>810264.260740604</v>
      </c>
      <c r="AB38" s="70" t="n">
        <f aca="false">AB37+AB36</f>
        <v>803759.860565172</v>
      </c>
    </row>
    <row r="39" customFormat="false" ht="15" hidden="false" customHeight="false" outlineLevel="0" collapsed="false">
      <c r="A39" s="28" t="s">
        <v>443</v>
      </c>
      <c r="B39" s="58" t="s">
        <v>444</v>
      </c>
      <c r="C39" s="59" t="n">
        <f aca="false">SUM(E39:P39)</f>
        <v>442534.28302922</v>
      </c>
      <c r="D39" s="59" t="n">
        <f aca="false">SUM(Q39:AB39)</f>
        <v>441464.71968918</v>
      </c>
      <c r="E39" s="71" t="n">
        <f aca="false">E28+E30</f>
        <v>9554.93045200258</v>
      </c>
      <c r="F39" s="71" t="n">
        <f aca="false">F28+F30</f>
        <v>186322.699749205</v>
      </c>
      <c r="G39" s="71" t="n">
        <f aca="false">G28+G30</f>
        <v>-93565.4230907051</v>
      </c>
      <c r="H39" s="71" t="n">
        <f aca="false">H28+H30</f>
        <v>-55791.156184544</v>
      </c>
      <c r="I39" s="71" t="n">
        <f aca="false">I28+I30</f>
        <v>83036.7792020092</v>
      </c>
      <c r="J39" s="71" t="n">
        <f aca="false">J28+J30</f>
        <v>-45070.3548295443</v>
      </c>
      <c r="K39" s="71" t="n">
        <f aca="false">K28+K30</f>
        <v>8676.50965449549</v>
      </c>
      <c r="L39" s="71" t="n">
        <f aca="false">L28+L30</f>
        <v>92724.0643907629</v>
      </c>
      <c r="M39" s="71" t="n">
        <f aca="false">M28+M30</f>
        <v>-25561.8098869209</v>
      </c>
      <c r="N39" s="71" t="n">
        <f aca="false">N28+N30</f>
        <v>84355.8693095198</v>
      </c>
      <c r="O39" s="71" t="n">
        <f aca="false">O28+O30</f>
        <v>150278.378741517</v>
      </c>
      <c r="P39" s="71" t="n">
        <f aca="false">P28+P30</f>
        <v>47573.7955214236</v>
      </c>
      <c r="Q39" s="71" t="n">
        <f aca="false">Q28+Q30</f>
        <v>30659.8777140525</v>
      </c>
      <c r="R39" s="71" t="n">
        <f aca="false">R28+R30</f>
        <v>157117.488027726</v>
      </c>
      <c r="S39" s="71" t="n">
        <f aca="false">S28+S30</f>
        <v>-146715.707730126</v>
      </c>
      <c r="T39" s="71" t="n">
        <f aca="false">T28+T30</f>
        <v>-3818.64044127355</v>
      </c>
      <c r="U39" s="71" t="n">
        <f aca="false">U28+U30</f>
        <v>113433.311474159</v>
      </c>
      <c r="V39" s="71" t="n">
        <f aca="false">V28+V30</f>
        <v>35874.7096655363</v>
      </c>
      <c r="W39" s="71" t="n">
        <f aca="false">W28+W30</f>
        <v>-1058.7316580806</v>
      </c>
      <c r="X39" s="71" t="n">
        <f aca="false">X28+X30</f>
        <v>104358.282433424</v>
      </c>
      <c r="Y39" s="71" t="n">
        <f aca="false">Y28+Y30</f>
        <v>21827.8424339148</v>
      </c>
      <c r="Z39" s="71" t="n">
        <f aca="false">Z28+Z30</f>
        <v>32853.1498426296</v>
      </c>
      <c r="AA39" s="71" t="n">
        <f aca="false">AA28+AA30</f>
        <v>100437.538102649</v>
      </c>
      <c r="AB39" s="71" t="n">
        <f aca="false">AB28+AB30</f>
        <v>-3504.40017543185</v>
      </c>
    </row>
    <row r="40" customFormat="false" ht="15" hidden="false" customHeight="false" outlineLevel="0" collapsed="false">
      <c r="A40" s="22" t="s">
        <v>445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row>
    <row r="41" customFormat="false" ht="15" hidden="false" customHeight="false" outlineLevel="0" collapsed="false">
      <c r="A41" s="28" t="s">
        <v>446</v>
      </c>
      <c r="B41" s="58" t="s">
        <v>447</v>
      </c>
      <c r="C41" s="59" t="n">
        <f aca="false">SUM(E41:P41)</f>
        <v>2766412.38837117</v>
      </c>
      <c r="D41" s="59" t="n">
        <f aca="false">SUM(Q41:AB41)</f>
        <v>2522466.43229111</v>
      </c>
      <c r="E41" s="60" t="n">
        <f aca="false">FX!E38</f>
        <v>172463.1700023</v>
      </c>
      <c r="F41" s="60" t="n">
        <f aca="false">FX!F38</f>
        <v>302527.770444763</v>
      </c>
      <c r="G41" s="60" t="n">
        <f aca="false">FX!G38</f>
        <v>158536.437734292</v>
      </c>
      <c r="H41" s="60" t="n">
        <f aca="false">FX!H38</f>
        <v>226595.798406531</v>
      </c>
      <c r="I41" s="60" t="n">
        <f aca="false">FX!I38</f>
        <v>265649.121997369</v>
      </c>
      <c r="J41" s="60" t="n">
        <f aca="false">FX!J38</f>
        <v>171088.074031232</v>
      </c>
      <c r="K41" s="60" t="n">
        <f aca="false">FX!K38</f>
        <v>261480.454148472</v>
      </c>
      <c r="L41" s="60" t="n">
        <f aca="false">FX!L38</f>
        <v>240778.953639135</v>
      </c>
      <c r="M41" s="60" t="n">
        <f aca="false">FX!M38</f>
        <v>183153.174504951</v>
      </c>
      <c r="N41" s="60" t="n">
        <f aca="false">FX!N38</f>
        <v>285898.579249434</v>
      </c>
      <c r="O41" s="60" t="n">
        <f aca="false">FX!O38</f>
        <v>244862.947143956</v>
      </c>
      <c r="P41" s="60" t="n">
        <f aca="false">FX!P38</f>
        <v>253377.907068729</v>
      </c>
      <c r="Q41" s="60" t="n">
        <f aca="false">FX!Q38</f>
        <v>201705.756791717</v>
      </c>
      <c r="R41" s="60" t="n">
        <f aca="false">FX!R38</f>
        <v>222025.310598613</v>
      </c>
      <c r="S41" s="60" t="n">
        <f aca="false">FX!S38</f>
        <v>188467.873155998</v>
      </c>
      <c r="T41" s="60" t="n">
        <f aca="false">FX!T38</f>
        <v>200921.008314044</v>
      </c>
      <c r="U41" s="60" t="n">
        <f aca="false">FX!U38</f>
        <v>231387.61164035</v>
      </c>
      <c r="V41" s="60" t="n">
        <f aca="false">FX!V38</f>
        <v>204598.948280013</v>
      </c>
      <c r="W41" s="60" t="n">
        <f aca="false">FX!W38</f>
        <v>203355.210481409</v>
      </c>
      <c r="X41" s="60" t="n">
        <f aca="false">FX!X38</f>
        <v>225121.522795501</v>
      </c>
      <c r="Y41" s="60" t="n">
        <f aca="false">FX!Y38</f>
        <v>192057.6482299</v>
      </c>
      <c r="Z41" s="60" t="n">
        <f aca="false">FX!Z38</f>
        <v>199241.451554868</v>
      </c>
      <c r="AA41" s="60" t="n">
        <f aca="false">FX!AA38</f>
        <v>242272.955504555</v>
      </c>
      <c r="AB41" s="60" t="n">
        <f aca="false">FX!AB38</f>
        <v>211311.134944147</v>
      </c>
    </row>
    <row r="42" customFormat="false" ht="15" hidden="false" customHeight="false" outlineLevel="0" collapsed="false">
      <c r="A42" s="28" t="s">
        <v>448</v>
      </c>
      <c r="B42" s="58" t="s">
        <v>447</v>
      </c>
      <c r="C42" s="59" t="n">
        <f aca="false">SUM(E42:P42)</f>
        <v>1557613.86061517</v>
      </c>
      <c r="D42" s="59" t="n">
        <f aca="false">SUM(Q42:AB42)</f>
        <v>1534835.36564333</v>
      </c>
      <c r="E42" s="60" t="n">
        <f aca="false">FX!E54</f>
        <v>91337.7244497022</v>
      </c>
      <c r="F42" s="60" t="n">
        <f aca="false">FX!F54</f>
        <v>122374.683864441</v>
      </c>
      <c r="G42" s="60" t="n">
        <f aca="false">FX!G54</f>
        <v>99282.2383384114</v>
      </c>
      <c r="H42" s="60" t="n">
        <f aca="false">FX!H54</f>
        <v>108132.818965517</v>
      </c>
      <c r="I42" s="60" t="n">
        <f aca="false">FX!I54</f>
        <v>105239.84408464</v>
      </c>
      <c r="J42" s="60" t="n">
        <f aca="false">FX!J54</f>
        <v>85004.1062592239</v>
      </c>
      <c r="K42" s="60" t="n">
        <f aca="false">FX!K54</f>
        <v>174841.907426024</v>
      </c>
      <c r="L42" s="60" t="n">
        <f aca="false">FX!L54</f>
        <v>130935.670031628</v>
      </c>
      <c r="M42" s="60" t="n">
        <f aca="false">FX!M54</f>
        <v>121900.448430493</v>
      </c>
      <c r="N42" s="60" t="n">
        <f aca="false">FX!N54</f>
        <v>139882.959641256</v>
      </c>
      <c r="O42" s="60" t="n">
        <f aca="false">FX!O54</f>
        <v>181821.86961021</v>
      </c>
      <c r="P42" s="60" t="n">
        <f aca="false">FX!P54</f>
        <v>196859.589513625</v>
      </c>
      <c r="Q42" s="60" t="n">
        <f aca="false">FX!Q54</f>
        <v>201082.821662642</v>
      </c>
      <c r="R42" s="60" t="n">
        <f aca="false">FX!R54</f>
        <v>154483.399448086</v>
      </c>
      <c r="S42" s="60" t="n">
        <f aca="false">FX!S54</f>
        <v>123434.805105209</v>
      </c>
      <c r="T42" s="60" t="n">
        <f aca="false">FX!T54</f>
        <v>123434.805105209</v>
      </c>
      <c r="U42" s="60" t="n">
        <f aca="false">FX!U54</f>
        <v>127727.66471197</v>
      </c>
      <c r="V42" s="60" t="n">
        <f aca="false">FX!V54</f>
        <v>131240.082787168</v>
      </c>
      <c r="W42" s="60" t="n">
        <f aca="false">FX!W54</f>
        <v>120891.686788548</v>
      </c>
      <c r="X42" s="60" t="n">
        <f aca="false">FX!X54</f>
        <v>116661.779924112</v>
      </c>
      <c r="Y42" s="60" t="n">
        <f aca="false">FX!Y54</f>
        <v>100404.018627113</v>
      </c>
      <c r="Z42" s="60" t="n">
        <f aca="false">FX!Z54</f>
        <v>104210.934805105</v>
      </c>
      <c r="AA42" s="60" t="n">
        <f aca="false">FX!AA54</f>
        <v>111824.76716109</v>
      </c>
      <c r="AB42" s="60" t="n">
        <f aca="false">FX!AB54</f>
        <v>119438.599517075</v>
      </c>
    </row>
    <row r="43" customFormat="false" ht="15" hidden="false" customHeight="false" outlineLevel="0" collapsed="false">
      <c r="A43" s="28" t="s">
        <v>449</v>
      </c>
      <c r="B43" s="58" t="s">
        <v>447</v>
      </c>
      <c r="C43" s="59" t="n">
        <f aca="false">SUM(E43:P43)</f>
        <v>2484335.27610083</v>
      </c>
      <c r="D43" s="59" t="n">
        <f aca="false">SUM(Q43:AB43)</f>
        <v>2922481.42703404</v>
      </c>
      <c r="E43" s="60" t="n">
        <f aca="false">FX!E22</f>
        <v>186307.37</v>
      </c>
      <c r="F43" s="60" t="n">
        <f aca="false">FX!F22</f>
        <v>218587.83</v>
      </c>
      <c r="G43" s="60" t="n">
        <f aca="false">FX!G22</f>
        <v>184863.9</v>
      </c>
      <c r="H43" s="60" t="n">
        <f aca="false">FX!H22</f>
        <v>161420.07</v>
      </c>
      <c r="I43" s="60" t="n">
        <f aca="false">FX!I22</f>
        <v>226869.25</v>
      </c>
      <c r="J43" s="60" t="n">
        <f aca="false">FX!J22</f>
        <v>228033.51</v>
      </c>
      <c r="K43" s="60" t="n">
        <f aca="false">FX!K22</f>
        <v>182256.77</v>
      </c>
      <c r="L43" s="60" t="n">
        <f aca="false">FX!L22</f>
        <v>230382.82</v>
      </c>
      <c r="M43" s="60" t="n">
        <f aca="false">FX!M22</f>
        <v>195566.814</v>
      </c>
      <c r="N43" s="60" t="n">
        <f aca="false">FX!N22</f>
        <v>181323.38476008</v>
      </c>
      <c r="O43" s="60" t="n">
        <f aca="false">FX!O22</f>
        <v>279754.281887273</v>
      </c>
      <c r="P43" s="60" t="n">
        <f aca="false">FX!P22</f>
        <v>208969.275453479</v>
      </c>
      <c r="Q43" s="60" t="n">
        <f aca="false">FX!Q22</f>
        <v>206246.186648635</v>
      </c>
      <c r="R43" s="60" t="n">
        <f aca="false">FX!R22</f>
        <v>273413.277031445</v>
      </c>
      <c r="S43" s="60" t="n">
        <f aca="false">FX!S22</f>
        <v>154937.901980949</v>
      </c>
      <c r="T43" s="60" t="n">
        <f aca="false">FX!T22</f>
        <v>251231.486752094</v>
      </c>
      <c r="U43" s="60" t="n">
        <f aca="false">FX!U22</f>
        <v>277133.55442916</v>
      </c>
      <c r="V43" s="60" t="n">
        <f aca="false">FX!V22</f>
        <v>227426.222149108</v>
      </c>
      <c r="W43" s="60" t="n">
        <f aca="false">FX!W22</f>
        <v>257056.903501257</v>
      </c>
      <c r="X43" s="60" t="n">
        <f aca="false">FX!X22</f>
        <v>259331.510899725</v>
      </c>
      <c r="Y43" s="60" t="n">
        <f aca="false">FX!Y22</f>
        <v>226359.077485258</v>
      </c>
      <c r="Z43" s="60" t="n">
        <f aca="false">FX!Z22</f>
        <v>248742.672602029</v>
      </c>
      <c r="AA43" s="60" t="n">
        <f aca="false">FX!AA22</f>
        <v>283597.683562764</v>
      </c>
      <c r="AB43" s="60" t="n">
        <f aca="false">FX!AB22</f>
        <v>257004.949991618</v>
      </c>
    </row>
    <row r="44" customFormat="false" ht="15" hidden="false" customHeight="false" outlineLevel="0" collapsed="false">
      <c r="A44" s="28" t="s">
        <v>450</v>
      </c>
      <c r="B44" s="58" t="s">
        <v>447</v>
      </c>
      <c r="C44" s="59" t="n">
        <f aca="false">SUM(E44:P44)</f>
        <v>-1527290.99392</v>
      </c>
      <c r="D44" s="59" t="n">
        <f aca="false">SUM(Q44:AB44)</f>
        <v>-1740089.892904</v>
      </c>
      <c r="E44" s="60" t="n">
        <f aca="false">-People!E45</f>
        <v>-124429.784</v>
      </c>
      <c r="F44" s="60" t="n">
        <f aca="false">-People!F45</f>
        <v>-123889.90544</v>
      </c>
      <c r="G44" s="60" t="n">
        <f aca="false">-People!G45</f>
        <v>-125328.3284</v>
      </c>
      <c r="H44" s="60" t="n">
        <f aca="false">-People!H45</f>
        <v>-129235.91304</v>
      </c>
      <c r="I44" s="60" t="n">
        <f aca="false">-People!I45</f>
        <v>-123763.72648</v>
      </c>
      <c r="J44" s="60" t="n">
        <f aca="false">-People!J45</f>
        <v>-123677.25568</v>
      </c>
      <c r="K44" s="60" t="n">
        <f aca="false">-People!K45</f>
        <v>-126997.5908</v>
      </c>
      <c r="L44" s="60" t="n">
        <f aca="false">-People!L45</f>
        <v>-127643.49008</v>
      </c>
      <c r="M44" s="60" t="n">
        <f aca="false">-People!M45</f>
        <v>-126234.392</v>
      </c>
      <c r="N44" s="60" t="n">
        <f aca="false">-People!N45</f>
        <v>-130072.8</v>
      </c>
      <c r="O44" s="60" t="n">
        <f aca="false">-People!O45</f>
        <v>-133008.904</v>
      </c>
      <c r="P44" s="60" t="n">
        <f aca="false">-People!P45</f>
        <v>-133008.904</v>
      </c>
      <c r="Q44" s="60" t="n">
        <f aca="false">-People!Q45</f>
        <v>-140518.997542</v>
      </c>
      <c r="R44" s="60" t="n">
        <f aca="false">-People!R45</f>
        <v>-140518.997542</v>
      </c>
      <c r="S44" s="60" t="n">
        <f aca="false">-People!S45</f>
        <v>-141806.377526</v>
      </c>
      <c r="T44" s="60" t="n">
        <f aca="false">-People!T45</f>
        <v>-146360.613366</v>
      </c>
      <c r="U44" s="60" t="n">
        <f aca="false">-People!U45</f>
        <v>-146360.613366</v>
      </c>
      <c r="V44" s="60" t="n">
        <f aca="false">-People!V45</f>
        <v>-146360.613366</v>
      </c>
      <c r="W44" s="60" t="n">
        <f aca="false">-People!W45</f>
        <v>-146360.613366</v>
      </c>
      <c r="X44" s="60" t="n">
        <f aca="false">-People!X45</f>
        <v>-146360.613366</v>
      </c>
      <c r="Y44" s="60" t="n">
        <f aca="false">-People!Y45</f>
        <v>-146360.613366</v>
      </c>
      <c r="Z44" s="60" t="n">
        <f aca="false">-People!Z45</f>
        <v>-146360.613366</v>
      </c>
      <c r="AA44" s="60" t="n">
        <f aca="false">-People!AA45</f>
        <v>-146360.613366</v>
      </c>
      <c r="AB44" s="60" t="n">
        <f aca="false">-People!AB45</f>
        <v>-146360.613366</v>
      </c>
    </row>
    <row r="45" customFormat="false" ht="15" hidden="false" customHeight="false" outlineLevel="0" collapsed="false">
      <c r="A45" s="28" t="s">
        <v>451</v>
      </c>
      <c r="B45" s="58" t="s">
        <v>447</v>
      </c>
      <c r="C45" s="59" t="n">
        <f aca="false">SUM(E45:P45)</f>
        <v>-73899.4618834081</v>
      </c>
      <c r="D45" s="59" t="n">
        <f aca="false">SUM(Q45:AB45)</f>
        <v>-72822.549696</v>
      </c>
      <c r="E45" s="60" t="n">
        <f aca="false">-People!E46</f>
        <v>-0</v>
      </c>
      <c r="F45" s="60" t="n">
        <f aca="false">-People!F46</f>
        <v>-0</v>
      </c>
      <c r="G45" s="60" t="n">
        <f aca="false">-People!G46</f>
        <v>-73899.4618834081</v>
      </c>
      <c r="H45" s="60" t="n">
        <f aca="false">-People!H46</f>
        <v>-0</v>
      </c>
      <c r="I45" s="60" t="n">
        <f aca="false">-People!I46</f>
        <v>-0</v>
      </c>
      <c r="J45" s="60" t="n">
        <f aca="false">-People!J46</f>
        <v>-0</v>
      </c>
      <c r="K45" s="60" t="n">
        <f aca="false">-People!K46</f>
        <v>-0</v>
      </c>
      <c r="L45" s="60" t="n">
        <f aca="false">-People!L46</f>
        <v>-0</v>
      </c>
      <c r="M45" s="60" t="n">
        <f aca="false">-People!M46</f>
        <v>-0</v>
      </c>
      <c r="N45" s="60" t="n">
        <f aca="false">-People!N46</f>
        <v>-0</v>
      </c>
      <c r="O45" s="60" t="n">
        <f aca="false">-People!O46</f>
        <v>-0</v>
      </c>
      <c r="P45" s="60" t="n">
        <f aca="false">-People!P46</f>
        <v>-0</v>
      </c>
      <c r="Q45" s="60" t="n">
        <f aca="false">-People!Q46</f>
        <v>-0</v>
      </c>
      <c r="R45" s="60" t="n">
        <f aca="false">-People!R46</f>
        <v>-0</v>
      </c>
      <c r="S45" s="60" t="n">
        <f aca="false">-People!S46</f>
        <v>-72822.549696</v>
      </c>
      <c r="T45" s="60" t="n">
        <f aca="false">-People!T46</f>
        <v>-0</v>
      </c>
      <c r="U45" s="60" t="n">
        <f aca="false">-People!U46</f>
        <v>-0</v>
      </c>
      <c r="V45" s="60" t="n">
        <f aca="false">-People!V46</f>
        <v>-0</v>
      </c>
      <c r="W45" s="60" t="n">
        <f aca="false">-People!W46</f>
        <v>-0</v>
      </c>
      <c r="X45" s="60" t="n">
        <f aca="false">-People!X46</f>
        <v>-0</v>
      </c>
      <c r="Y45" s="60" t="n">
        <f aca="false">-People!Y46</f>
        <v>-0</v>
      </c>
      <c r="Z45" s="60" t="n">
        <f aca="false">-People!Z46</f>
        <v>-0</v>
      </c>
      <c r="AA45" s="60" t="n">
        <f aca="false">-People!AA46</f>
        <v>-0</v>
      </c>
      <c r="AB45" s="60" t="n">
        <f aca="false">-People!AB46</f>
        <v>-0</v>
      </c>
    </row>
    <row r="46" customFormat="false" ht="15" hidden="false" customHeight="false" outlineLevel="0" collapsed="false">
      <c r="A46" s="28" t="s">
        <v>452</v>
      </c>
      <c r="B46" s="58" t="s">
        <v>447</v>
      </c>
      <c r="C46" s="59" t="n">
        <f aca="false">SUM(E46:P46)</f>
        <v>-1116254.80619659</v>
      </c>
      <c r="D46" s="59" t="n">
        <f aca="false">SUM(Q46:AB46)</f>
        <v>-1266586.118116</v>
      </c>
      <c r="E46" s="60" t="n">
        <f aca="false">People!E43</f>
        <v>-86983.07</v>
      </c>
      <c r="F46" s="60" t="n">
        <f aca="false">People!F43</f>
        <v>-86572.816</v>
      </c>
      <c r="G46" s="60" t="n">
        <f aca="false">People!G43</f>
        <v>-86152.01056</v>
      </c>
      <c r="H46" s="60" t="n">
        <f aca="false">People!H43</f>
        <v>-144873.719716592</v>
      </c>
      <c r="I46" s="60" t="n">
        <f aca="false">People!I43</f>
        <v>-90044.89296</v>
      </c>
      <c r="J46" s="60" t="n">
        <f aca="false">People!J43</f>
        <v>-86327.69552</v>
      </c>
      <c r="K46" s="60" t="n">
        <f aca="false">People!K43</f>
        <v>-86260.29632</v>
      </c>
      <c r="L46" s="60" t="n">
        <f aca="false">People!L43</f>
        <v>-88574.2792</v>
      </c>
      <c r="M46" s="60" t="n">
        <f aca="false">People!M43</f>
        <v>-89077.72192</v>
      </c>
      <c r="N46" s="60" t="n">
        <f aca="false">People!N43</f>
        <v>-87979.408</v>
      </c>
      <c r="O46" s="60" t="n">
        <f aca="false">People!O43</f>
        <v>-90697.2</v>
      </c>
      <c r="P46" s="60" t="n">
        <f aca="false">People!P43</f>
        <v>-92711.696</v>
      </c>
      <c r="Q46" s="60" t="n">
        <f aca="false">People!Q43</f>
        <v>-92711.696</v>
      </c>
      <c r="R46" s="60" t="n">
        <f aca="false">People!R43</f>
        <v>-98442.082508</v>
      </c>
      <c r="S46" s="60" t="n">
        <f aca="false">People!S43</f>
        <v>-98442.082508</v>
      </c>
      <c r="T46" s="60" t="n">
        <f aca="false">People!T43</f>
        <v>-156097.054828</v>
      </c>
      <c r="U46" s="60" t="n">
        <f aca="false">People!U43</f>
        <v>-102611.650284</v>
      </c>
      <c r="V46" s="60" t="n">
        <f aca="false">People!V43</f>
        <v>-102611.650284</v>
      </c>
      <c r="W46" s="60" t="n">
        <f aca="false">People!W43</f>
        <v>-102611.650284</v>
      </c>
      <c r="X46" s="60" t="n">
        <f aca="false">People!X43</f>
        <v>-102611.650284</v>
      </c>
      <c r="Y46" s="60" t="n">
        <f aca="false">People!Y43</f>
        <v>-102611.650284</v>
      </c>
      <c r="Z46" s="60" t="n">
        <f aca="false">People!Z43</f>
        <v>-102611.650284</v>
      </c>
      <c r="AA46" s="60" t="n">
        <f aca="false">People!AA43</f>
        <v>-102611.650284</v>
      </c>
      <c r="AB46" s="60" t="n">
        <f aca="false">People!AB43</f>
        <v>-102611.650284</v>
      </c>
    </row>
    <row r="47" customFormat="false" ht="15" hidden="false" customHeight="false" outlineLevel="0" collapsed="false">
      <c r="A47" s="28" t="s">
        <v>343</v>
      </c>
      <c r="B47" s="58" t="s">
        <v>447</v>
      </c>
      <c r="C47" s="59" t="n">
        <f aca="false">SUM(E47:P47)</f>
        <v>-207729.478820168</v>
      </c>
      <c r="D47" s="59" t="n">
        <f aca="false">SUM(Q47:AB47)</f>
        <v>-93202.8101889863</v>
      </c>
      <c r="E47" s="60" t="n">
        <f aca="false">-Payables!E11</f>
        <v>-23309.71</v>
      </c>
      <c r="F47" s="60" t="n">
        <f aca="false">-Payables!F11</f>
        <v>-5812.3</v>
      </c>
      <c r="G47" s="60" t="n">
        <f aca="false">-Payables!G11</f>
        <v>-6536.96</v>
      </c>
      <c r="H47" s="60" t="n">
        <f aca="false">-Payables!H11</f>
        <v>-6054.52</v>
      </c>
      <c r="I47" s="60" t="n">
        <f aca="false">-Payables!I11</f>
        <v>-6387.02</v>
      </c>
      <c r="J47" s="60" t="n">
        <f aca="false">-Payables!J11</f>
        <v>-11482.73</v>
      </c>
      <c r="K47" s="60" t="n">
        <f aca="false">-Payables!K11</f>
        <v>-38207.84</v>
      </c>
      <c r="L47" s="60" t="n">
        <f aca="false">-Payables!L11</f>
        <v>-57873.22</v>
      </c>
      <c r="M47" s="60" t="n">
        <f aca="false">-Payables!M11</f>
        <v>-29504.0588422782</v>
      </c>
      <c r="N47" s="60" t="n">
        <f aca="false">-Payables!N11</f>
        <v>-10505.1199778898</v>
      </c>
      <c r="O47" s="60" t="n">
        <f aca="false">-Payables!O11</f>
        <v>-6028</v>
      </c>
      <c r="P47" s="60" t="n">
        <f aca="false">-Payables!P11</f>
        <v>-6028</v>
      </c>
      <c r="Q47" s="60" t="n">
        <f aca="false">-Payables!Q11</f>
        <v>-6118.42</v>
      </c>
      <c r="R47" s="60" t="n">
        <f aca="false">-Payables!R11</f>
        <v>-6299.26</v>
      </c>
      <c r="S47" s="60" t="n">
        <f aca="false">-Payables!S11</f>
        <v>-6299.26</v>
      </c>
      <c r="T47" s="60" t="n">
        <f aca="false">-Payables!T11</f>
        <v>-6299.26</v>
      </c>
      <c r="U47" s="60" t="n">
        <f aca="false">-Payables!U11</f>
        <v>-6299.26</v>
      </c>
      <c r="V47" s="60" t="n">
        <f aca="false">-Payables!V11</f>
        <v>-6299.26</v>
      </c>
      <c r="W47" s="60" t="n">
        <f aca="false">-Payables!W11</f>
        <v>-12230.1033963288</v>
      </c>
      <c r="X47" s="60" t="n">
        <f aca="false">-Payables!X11</f>
        <v>-18160.9467926575</v>
      </c>
      <c r="Y47" s="60" t="n">
        <f aca="false">-Payables!Y11</f>
        <v>-6299.26</v>
      </c>
      <c r="Z47" s="60" t="n">
        <f aca="false">-Payables!Z11</f>
        <v>-6299.26</v>
      </c>
      <c r="AA47" s="60" t="n">
        <f aca="false">-Payables!AA11</f>
        <v>-6299.26</v>
      </c>
      <c r="AB47" s="60" t="n">
        <f aca="false">-Payables!AB11</f>
        <v>-6299.26</v>
      </c>
    </row>
    <row r="48" customFormat="false" ht="15" hidden="false" customHeight="false" outlineLevel="0" collapsed="false">
      <c r="A48" s="28" t="s">
        <v>453</v>
      </c>
      <c r="B48" s="58" t="s">
        <v>447</v>
      </c>
      <c r="C48" s="59" t="n">
        <f aca="false">SUM(E48:P48)</f>
        <v>-2720790.8888056</v>
      </c>
      <c r="D48" s="59" t="n">
        <f aca="false">SUM(Q48:AB48)</f>
        <v>-2650626.5162546</v>
      </c>
      <c r="E48" s="60" t="n">
        <f aca="false">-Payables!E16</f>
        <v>-160513.37</v>
      </c>
      <c r="F48" s="60" t="n">
        <f aca="false">-Payables!F16</f>
        <v>-194305.35</v>
      </c>
      <c r="G48" s="60" t="n">
        <f aca="false">-Payables!G16</f>
        <v>-194859.5</v>
      </c>
      <c r="H48" s="60" t="n">
        <f aca="false">-Payables!H16</f>
        <v>-210132.63</v>
      </c>
      <c r="I48" s="60" t="n">
        <f aca="false">-Payables!I16</f>
        <v>-243567.19</v>
      </c>
      <c r="J48" s="60" t="n">
        <f aca="false">-Payables!J16</f>
        <v>-255796.31</v>
      </c>
      <c r="K48" s="60" t="n">
        <f aca="false">-Payables!K16</f>
        <v>-232273.71</v>
      </c>
      <c r="L48" s="60" t="n">
        <f aca="false">-Payables!L16</f>
        <v>-187582.6</v>
      </c>
      <c r="M48" s="60" t="n">
        <f aca="false">-Payables!M16</f>
        <v>-235049.153180087</v>
      </c>
      <c r="N48" s="60" t="n">
        <f aca="false">-Payables!N16</f>
        <v>-233829.297282758</v>
      </c>
      <c r="O48" s="60" t="n">
        <f aca="false">-Payables!O16</f>
        <v>-257212.227011034</v>
      </c>
      <c r="P48" s="60" t="n">
        <f aca="false">-Payables!P16</f>
        <v>-315669.551331724</v>
      </c>
      <c r="Q48" s="60" t="n">
        <f aca="false">-Payables!Q16</f>
        <v>-280595.15673931</v>
      </c>
      <c r="R48" s="60" t="n">
        <f aca="false">-Payables!R16</f>
        <v>-197819.902690344</v>
      </c>
      <c r="S48" s="60" t="n">
        <f aca="false">-Payables!S16</f>
        <v>-197819.902690345</v>
      </c>
      <c r="T48" s="60" t="n">
        <f aca="false">-Payables!T16</f>
        <v>-216817.83241862</v>
      </c>
      <c r="U48" s="60" t="n">
        <f aca="false">-Payables!U16</f>
        <v>-221807.664553448</v>
      </c>
      <c r="V48" s="60" t="n">
        <f aca="false">-Payables!V16</f>
        <v>-221807.664553448</v>
      </c>
      <c r="W48" s="60" t="n">
        <f aca="false">-Payables!W16</f>
        <v>-210717.281325775</v>
      </c>
      <c r="X48" s="60" t="n">
        <f aca="false">-Payables!X16</f>
        <v>-181939.41242131</v>
      </c>
      <c r="Y48" s="60" t="n">
        <f aca="false">-Payables!Y16</f>
        <v>-192641.730799034</v>
      </c>
      <c r="Z48" s="60" t="n">
        <f aca="false">-Payables!Z16</f>
        <v>-214046.367554482</v>
      </c>
      <c r="AA48" s="60" t="n">
        <f aca="false">-Payables!AA16</f>
        <v>-231051.004309931</v>
      </c>
      <c r="AB48" s="60" t="n">
        <f aca="false">-Payables!AB16</f>
        <v>-283562.596198551</v>
      </c>
    </row>
    <row r="49" customFormat="false" ht="15" hidden="false" customHeight="false" outlineLevel="0" collapsed="false">
      <c r="A49" s="28" t="s">
        <v>454</v>
      </c>
      <c r="B49" s="58" t="s">
        <v>447</v>
      </c>
      <c r="C49" s="59" t="n">
        <f aca="false">SUM(E49:P49)</f>
        <v>-48747.5</v>
      </c>
      <c r="D49" s="59" t="n">
        <f aca="false">SUM(Q49:AB49)</f>
        <v>-5812.5</v>
      </c>
      <c r="E49" s="60" t="n">
        <f aca="false">-Payables!E21</f>
        <v>-0</v>
      </c>
      <c r="F49" s="60" t="n">
        <f aca="false">-Payables!F21</f>
        <v>-0</v>
      </c>
      <c r="G49" s="60" t="n">
        <f aca="false">-Payables!G21</f>
        <v>-0</v>
      </c>
      <c r="H49" s="60" t="n">
        <f aca="false">-Payables!H21</f>
        <v>-0</v>
      </c>
      <c r="I49" s="60" t="n">
        <f aca="false">-Payables!I21</f>
        <v>-0</v>
      </c>
      <c r="J49" s="60" t="n">
        <f aca="false">-Payables!J21</f>
        <v>-0</v>
      </c>
      <c r="K49" s="60" t="n">
        <f aca="false">-Payables!K21</f>
        <v>-16.72</v>
      </c>
      <c r="L49" s="60" t="n">
        <f aca="false">-Payables!L21</f>
        <v>-5223.94</v>
      </c>
      <c r="M49" s="60" t="n">
        <f aca="false">-Payables!M21</f>
        <v>-6911.34</v>
      </c>
      <c r="N49" s="60" t="n">
        <f aca="false">-Payables!N21</f>
        <v>-8320.05555555556</v>
      </c>
      <c r="O49" s="60" t="n">
        <f aca="false">-Payables!O21</f>
        <v>-14716.3888888889</v>
      </c>
      <c r="P49" s="60" t="n">
        <f aca="false">-Payables!P21</f>
        <v>-13559.0555555556</v>
      </c>
      <c r="Q49" s="60" t="n">
        <f aca="false">-Payables!Q21</f>
        <v>-5812.5</v>
      </c>
      <c r="R49" s="60" t="n">
        <f aca="false">-Payables!R21</f>
        <v>-0</v>
      </c>
      <c r="S49" s="60" t="n">
        <f aca="false">-Payables!S21</f>
        <v>-0</v>
      </c>
      <c r="T49" s="60" t="n">
        <f aca="false">-Payables!T21</f>
        <v>-0</v>
      </c>
      <c r="U49" s="60" t="n">
        <f aca="false">-Payables!U21</f>
        <v>-0</v>
      </c>
      <c r="V49" s="60" t="n">
        <f aca="false">-Payables!V21</f>
        <v>-0</v>
      </c>
      <c r="W49" s="60" t="n">
        <f aca="false">-Payables!W21</f>
        <v>-0</v>
      </c>
      <c r="X49" s="60" t="n">
        <f aca="false">-Payables!X21</f>
        <v>-0</v>
      </c>
      <c r="Y49" s="60" t="n">
        <f aca="false">-Payables!Y21</f>
        <v>-0</v>
      </c>
      <c r="Z49" s="60" t="n">
        <f aca="false">-Payables!Z21</f>
        <v>-0</v>
      </c>
      <c r="AA49" s="60" t="n">
        <f aca="false">-Payables!AA21</f>
        <v>-0</v>
      </c>
      <c r="AB49" s="60" t="n">
        <f aca="false">-Payables!AB21</f>
        <v>-0</v>
      </c>
    </row>
    <row r="50" customFormat="false" ht="15" hidden="false" customHeight="false" outlineLevel="0" collapsed="false">
      <c r="A50" s="28" t="s">
        <v>455</v>
      </c>
      <c r="B50" s="58" t="s">
        <v>447</v>
      </c>
      <c r="C50" s="59" t="n">
        <f aca="false">SUM(E50:P50)</f>
        <v>-521632.476</v>
      </c>
      <c r="D50" s="59" t="n">
        <f aca="false">SUM(Q50:AB50)</f>
        <v>-526934.436</v>
      </c>
      <c r="E50" s="60" t="n">
        <f aca="false">-Payables!E26</f>
        <v>-37789.4</v>
      </c>
      <c r="F50" s="60" t="n">
        <f aca="false">-Payables!F26</f>
        <v>-41784.96</v>
      </c>
      <c r="G50" s="60" t="n">
        <f aca="false">-Payables!G26</f>
        <v>-41958.93</v>
      </c>
      <c r="H50" s="60" t="n">
        <f aca="false">-Payables!H26</f>
        <v>-53072.1</v>
      </c>
      <c r="I50" s="60" t="n">
        <f aca="false">-Payables!I26</f>
        <v>-46559.27</v>
      </c>
      <c r="J50" s="60" t="n">
        <f aca="false">-Payables!J26</f>
        <v>-45029.6</v>
      </c>
      <c r="K50" s="60" t="n">
        <f aca="false">-Payables!K26</f>
        <v>-39146.74</v>
      </c>
      <c r="L50" s="60" t="n">
        <f aca="false">-Payables!L26</f>
        <v>-40085.85</v>
      </c>
      <c r="M50" s="60" t="n">
        <f aca="false">-Payables!M26</f>
        <v>-39471.626</v>
      </c>
      <c r="N50" s="60" t="n">
        <f aca="false">-Payables!N26</f>
        <v>-44090</v>
      </c>
      <c r="O50" s="60" t="n">
        <f aca="false">-Payables!O26</f>
        <v>-47438</v>
      </c>
      <c r="P50" s="60" t="n">
        <f aca="false">-Payables!P26</f>
        <v>-45206</v>
      </c>
      <c r="Q50" s="60" t="n">
        <f aca="false">-Payables!Q26</f>
        <v>-43364.696</v>
      </c>
      <c r="R50" s="60" t="n">
        <f aca="false">-Payables!R26</f>
        <v>-44620.34</v>
      </c>
      <c r="S50" s="60" t="n">
        <f aca="false">-Payables!S26</f>
        <v>-44006.54</v>
      </c>
      <c r="T50" s="60" t="n">
        <f aca="false">-Payables!T26</f>
        <v>-46684.94</v>
      </c>
      <c r="U50" s="60" t="n">
        <f aca="false">-Payables!U26</f>
        <v>-46461.74</v>
      </c>
      <c r="V50" s="60" t="n">
        <f aca="false">-Payables!V26</f>
        <v>-43113.74</v>
      </c>
      <c r="W50" s="60" t="n">
        <f aca="false">-Payables!W26</f>
        <v>-43113.74</v>
      </c>
      <c r="X50" s="60" t="n">
        <f aca="false">-Payables!X26</f>
        <v>-43113.74</v>
      </c>
      <c r="Y50" s="60" t="n">
        <f aca="false">-Payables!Y26</f>
        <v>-43113.74</v>
      </c>
      <c r="Z50" s="60" t="n">
        <f aca="false">-Payables!Z26</f>
        <v>-43113.74</v>
      </c>
      <c r="AA50" s="60" t="n">
        <f aca="false">-Payables!AA26</f>
        <v>-43113.74</v>
      </c>
      <c r="AB50" s="60" t="n">
        <f aca="false">-Payables!AB26</f>
        <v>-43113.74</v>
      </c>
    </row>
    <row r="51" customFormat="false" ht="15" hidden="false" customHeight="false" outlineLevel="0" collapsed="false">
      <c r="A51" s="28" t="s">
        <v>456</v>
      </c>
      <c r="B51" s="58" t="s">
        <v>447</v>
      </c>
      <c r="C51" s="59" t="n">
        <f aca="false">SUM(E51:P51)</f>
        <v>-17767.2764321774</v>
      </c>
      <c r="D51" s="59" t="n">
        <f aca="false">SUM(Q51:AB51)</f>
        <v>-24565.9774098329</v>
      </c>
      <c r="E51" s="60" t="n">
        <f aca="false">VAT!E22+VAT!E23</f>
        <v>-3800</v>
      </c>
      <c r="F51" s="60" t="n">
        <f aca="false">VAT!F22+VAT!F23</f>
        <v>-2576.25312</v>
      </c>
      <c r="G51" s="60" t="n">
        <f aca="false">VAT!G22+VAT!G23</f>
        <v>-3192.80832</v>
      </c>
      <c r="H51" s="60" t="n">
        <f aca="false">VAT!H22+VAT!H23</f>
        <v>-1660.9608</v>
      </c>
      <c r="I51" s="60" t="n">
        <f aca="false">VAT!I22+VAT!I23</f>
        <v>-2835.33744</v>
      </c>
      <c r="J51" s="60" t="n">
        <f aca="false">VAT!J22+VAT!J23</f>
        <v>-3472.45391999999</v>
      </c>
      <c r="K51" s="60" t="n">
        <f aca="false">VAT!K22+VAT!K23</f>
        <v>-1653.36480000001</v>
      </c>
      <c r="L51" s="60" t="n">
        <f aca="false">VAT!L22+VAT!L23</f>
        <v>-0</v>
      </c>
      <c r="M51" s="60" t="n">
        <f aca="false">VAT!M22+VAT!M23</f>
        <v>3930.04512</v>
      </c>
      <c r="N51" s="60" t="n">
        <f aca="false">VAT!N22+VAT!N23</f>
        <v>-878.373525046118</v>
      </c>
      <c r="O51" s="60" t="n">
        <f aca="false">VAT!O22+VAT!O23</f>
        <v>-0</v>
      </c>
      <c r="P51" s="60" t="n">
        <f aca="false">VAT!P22+VAT!P23</f>
        <v>-1627.76962713122</v>
      </c>
      <c r="Q51" s="60" t="n">
        <f aca="false">VAT!Q22+VAT!Q23</f>
        <v>-3838.38110763129</v>
      </c>
      <c r="R51" s="60" t="n">
        <f aca="false">VAT!R22+VAT!R23</f>
        <v>-1153.67631007249</v>
      </c>
      <c r="S51" s="60" t="n">
        <f aca="false">VAT!S22+VAT!S23</f>
        <v>-2493.73555193654</v>
      </c>
      <c r="T51" s="60" t="n">
        <f aca="false">VAT!T22+VAT!T23</f>
        <v>-0</v>
      </c>
      <c r="U51" s="60" t="n">
        <f aca="false">VAT!U22+VAT!U23</f>
        <v>4633.64889612692</v>
      </c>
      <c r="V51" s="60" t="n">
        <f aca="false">VAT!V22+VAT!V23</f>
        <v>-3303.3753473058</v>
      </c>
      <c r="W51" s="60" t="n">
        <f aca="false">VAT!W22+VAT!W23</f>
        <v>-3022.4793473058</v>
      </c>
      <c r="X51" s="60" t="n">
        <f aca="false">VAT!X22+VAT!X23</f>
        <v>-703.928321945896</v>
      </c>
      <c r="Y51" s="60" t="n">
        <f aca="false">VAT!Y22+VAT!Y23</f>
        <v>-2113.66745932167</v>
      </c>
      <c r="Z51" s="60" t="n">
        <f aca="false">VAT!Z22+VAT!Z23</f>
        <v>-3072.03791489059</v>
      </c>
      <c r="AA51" s="60" t="n">
        <f aca="false">VAT!AA22+VAT!AA23</f>
        <v>-3997.36016582878</v>
      </c>
      <c r="AB51" s="60" t="n">
        <f aca="false">VAT!AB22+VAT!AB23</f>
        <v>-5500.98477972101</v>
      </c>
    </row>
    <row r="52" customFormat="false" ht="15" hidden="false" customHeight="false" outlineLevel="0" collapsed="false">
      <c r="A52" s="28" t="s">
        <v>457</v>
      </c>
      <c r="B52" s="58" t="s">
        <v>447</v>
      </c>
      <c r="C52" s="59" t="n">
        <f aca="false">SUM(E52:P52)</f>
        <v>-78974.36</v>
      </c>
      <c r="D52" s="59" t="n">
        <f aca="false">SUM(Q52:AB52)</f>
        <v>-60426.4247098848</v>
      </c>
      <c r="E52" s="60" t="n">
        <f aca="false">Financing!E19</f>
        <v>-0</v>
      </c>
      <c r="F52" s="60" t="n">
        <f aca="false">Financing!F19</f>
        <v>-0</v>
      </c>
      <c r="G52" s="60" t="n">
        <f aca="false">Financing!G19</f>
        <v>-0</v>
      </c>
      <c r="H52" s="60" t="n">
        <f aca="false">Financing!H19</f>
        <v>-0</v>
      </c>
      <c r="I52" s="60" t="n">
        <f aca="false">Financing!I19</f>
        <v>-0</v>
      </c>
      <c r="J52" s="60" t="n">
        <f aca="false">Financing!J19</f>
        <v>-0</v>
      </c>
      <c r="K52" s="60" t="n">
        <f aca="false">Financing!K19</f>
        <v>-78974.36</v>
      </c>
      <c r="L52" s="60" t="n">
        <f aca="false">Financing!L19</f>
        <v>-0</v>
      </c>
      <c r="M52" s="60" t="n">
        <f aca="false">Financing!M19</f>
        <v>-0</v>
      </c>
      <c r="N52" s="60" t="n">
        <f aca="false">Financing!N19</f>
        <v>-0</v>
      </c>
      <c r="O52" s="60" t="n">
        <f aca="false">Financing!O19</f>
        <v>-0</v>
      </c>
      <c r="P52" s="60" t="n">
        <f aca="false">Financing!P19</f>
        <v>-0</v>
      </c>
      <c r="Q52" s="60" t="n">
        <f aca="false">Financing!Q19</f>
        <v>-0</v>
      </c>
      <c r="R52" s="60" t="n">
        <f aca="false">Financing!R19</f>
        <v>-0</v>
      </c>
      <c r="S52" s="60" t="n">
        <f aca="false">Financing!S19</f>
        <v>-0</v>
      </c>
      <c r="T52" s="60" t="n">
        <f aca="false">Financing!T19</f>
        <v>-0</v>
      </c>
      <c r="U52" s="60" t="n">
        <f aca="false">Financing!U19</f>
        <v>-0</v>
      </c>
      <c r="V52" s="60" t="n">
        <f aca="false">Financing!V19</f>
        <v>-0</v>
      </c>
      <c r="W52" s="60" t="n">
        <f aca="false">Financing!W19</f>
        <v>-60426.4247098848</v>
      </c>
      <c r="X52" s="60" t="n">
        <f aca="false">Financing!X19</f>
        <v>-0</v>
      </c>
      <c r="Y52" s="60" t="n">
        <f aca="false">Financing!Y19</f>
        <v>-0</v>
      </c>
      <c r="Z52" s="60" t="n">
        <f aca="false">Financing!Z19</f>
        <v>-0</v>
      </c>
      <c r="AA52" s="60" t="n">
        <f aca="false">Financing!AA19</f>
        <v>-0</v>
      </c>
      <c r="AB52" s="60" t="n">
        <f aca="false">Financing!AB19</f>
        <v>-0</v>
      </c>
    </row>
    <row r="53" customFormat="false" ht="15" hidden="false" customHeight="false" outlineLevel="0" collapsed="false">
      <c r="A53" s="28" t="s">
        <v>458</v>
      </c>
      <c r="B53" s="58" t="s">
        <v>447</v>
      </c>
      <c r="C53" s="59" t="n">
        <f aca="false">SUM(E53:P53)</f>
        <v>-47616</v>
      </c>
      <c r="D53" s="59" t="n">
        <f aca="false">SUM(Q53:AB53)</f>
        <v>-94143.28</v>
      </c>
      <c r="E53" s="60" t="n">
        <f aca="false">-Fixed_Assets!E25*(1+Assumptions!$C$18)</f>
        <v>-3224</v>
      </c>
      <c r="F53" s="60" t="n">
        <f aca="false">-Fixed_Assets!F25*(1+Assumptions!$C$18)</f>
        <v>-1736</v>
      </c>
      <c r="G53" s="60" t="n">
        <f aca="false">-Fixed_Assets!G25*(1+Assumptions!$C$18)</f>
        <v>-3844</v>
      </c>
      <c r="H53" s="60" t="n">
        <f aca="false">-Fixed_Assets!H25*(1+Assumptions!$C$18)</f>
        <v>-6448</v>
      </c>
      <c r="I53" s="60" t="n">
        <f aca="false">-Fixed_Assets!I25*(1+Assumptions!$C$18)</f>
        <v>-1116</v>
      </c>
      <c r="J53" s="60" t="n">
        <f aca="false">-Fixed_Assets!J25*(1+Assumptions!$C$18)</f>
        <v>-2976</v>
      </c>
      <c r="K53" s="60" t="n">
        <f aca="false">-Fixed_Assets!K25*(1+Assumptions!$C$18)</f>
        <v>-5952</v>
      </c>
      <c r="L53" s="60" t="n">
        <f aca="false">-Fixed_Assets!L25*(1+Assumptions!$C$18)</f>
        <v>-1984</v>
      </c>
      <c r="M53" s="60" t="n">
        <f aca="false">-Fixed_Assets!M25*(1+Assumptions!$C$18)</f>
        <v>-3472</v>
      </c>
      <c r="N53" s="60" t="n">
        <f aca="false">-Fixed_Assets!N25*(1+Assumptions!$C$18)</f>
        <v>-6696</v>
      </c>
      <c r="O53" s="60" t="n">
        <f aca="false">-Fixed_Assets!O25*(1+Assumptions!$C$18)</f>
        <v>-6696</v>
      </c>
      <c r="P53" s="60" t="n">
        <f aca="false">-Fixed_Assets!P25*(1+Assumptions!$C$18)</f>
        <v>-3472</v>
      </c>
      <c r="Q53" s="60" t="n">
        <f aca="false">-Fixed_Assets!Q25*(1+Assumptions!$C$18)</f>
        <v>-5079.04</v>
      </c>
      <c r="R53" s="60" t="n">
        <f aca="false">-Fixed_Assets!R25*(1+Assumptions!$C$18)</f>
        <v>-3628.24</v>
      </c>
      <c r="S53" s="60" t="n">
        <f aca="false">-Fixed_Assets!S25*(1+Assumptions!$C$18)</f>
        <v>-49557.84</v>
      </c>
      <c r="T53" s="60" t="n">
        <f aca="false">-Fixed_Assets!T25*(1+Assumptions!$C$18)</f>
        <v>-6852.24</v>
      </c>
      <c r="U53" s="60" t="n">
        <f aca="false">-Fixed_Assets!U25*(1+Assumptions!$C$18)</f>
        <v>-3628.24</v>
      </c>
      <c r="V53" s="60" t="n">
        <f aca="false">-Fixed_Assets!V25*(1+Assumptions!$C$18)</f>
        <v>-3628.24</v>
      </c>
      <c r="W53" s="60" t="n">
        <f aca="false">-Fixed_Assets!W25*(1+Assumptions!$C$18)</f>
        <v>-3628.24</v>
      </c>
      <c r="X53" s="60" t="n">
        <f aca="false">-Fixed_Assets!X25*(1+Assumptions!$C$18)</f>
        <v>-3628.24</v>
      </c>
      <c r="Y53" s="60" t="n">
        <f aca="false">-Fixed_Assets!Y25*(1+Assumptions!$C$18)</f>
        <v>-3628.24</v>
      </c>
      <c r="Z53" s="60" t="n">
        <f aca="false">-Fixed_Assets!Z25*(1+Assumptions!$C$18)</f>
        <v>-3628.24</v>
      </c>
      <c r="AA53" s="60" t="n">
        <f aca="false">-Fixed_Assets!AA25*(1+Assumptions!$C$18)</f>
        <v>-3628.24</v>
      </c>
      <c r="AB53" s="60" t="n">
        <f aca="false">-Fixed_Assets!AB25*(1+Assumptions!$C$18)</f>
        <v>-3628.24</v>
      </c>
    </row>
    <row r="54" customFormat="false" ht="15" hidden="false" customHeight="false" outlineLevel="0" collapsed="false">
      <c r="A54" s="28" t="s">
        <v>367</v>
      </c>
      <c r="B54" s="58" t="s">
        <v>447</v>
      </c>
      <c r="C54" s="59" t="n">
        <f aca="false">SUM(E54:P54)</f>
        <v>-5124</v>
      </c>
      <c r="D54" s="59" t="n">
        <f aca="false">SUM(Q54:AB54)</f>
        <v>-3108</v>
      </c>
      <c r="E54" s="60" t="n">
        <f aca="false">-Financing!E12</f>
        <v>-504</v>
      </c>
      <c r="F54" s="60" t="n">
        <f aca="false">-Financing!F12</f>
        <v>-490</v>
      </c>
      <c r="G54" s="60" t="n">
        <f aca="false">-Financing!G12</f>
        <v>-476</v>
      </c>
      <c r="H54" s="60" t="n">
        <f aca="false">-Financing!H12</f>
        <v>-462</v>
      </c>
      <c r="I54" s="60" t="n">
        <f aca="false">-Financing!I12</f>
        <v>-448</v>
      </c>
      <c r="J54" s="60" t="n">
        <f aca="false">-Financing!J12</f>
        <v>-434</v>
      </c>
      <c r="K54" s="60" t="n">
        <f aca="false">-Financing!K12</f>
        <v>-420</v>
      </c>
      <c r="L54" s="60" t="n">
        <f aca="false">-Financing!L12</f>
        <v>-406</v>
      </c>
      <c r="M54" s="60" t="n">
        <f aca="false">-Financing!M12</f>
        <v>-392</v>
      </c>
      <c r="N54" s="60" t="n">
        <f aca="false">-Financing!N12</f>
        <v>-378</v>
      </c>
      <c r="O54" s="60" t="n">
        <f aca="false">-Financing!O12</f>
        <v>-364</v>
      </c>
      <c r="P54" s="60" t="n">
        <f aca="false">-Financing!P12</f>
        <v>-350</v>
      </c>
      <c r="Q54" s="60" t="n">
        <f aca="false">-Financing!Q12</f>
        <v>-336</v>
      </c>
      <c r="R54" s="60" t="n">
        <f aca="false">-Financing!R12</f>
        <v>-322</v>
      </c>
      <c r="S54" s="60" t="n">
        <f aca="false">-Financing!S12</f>
        <v>-308</v>
      </c>
      <c r="T54" s="60" t="n">
        <f aca="false">-Financing!T12</f>
        <v>-294</v>
      </c>
      <c r="U54" s="60" t="n">
        <f aca="false">-Financing!U12</f>
        <v>-280</v>
      </c>
      <c r="V54" s="60" t="n">
        <f aca="false">-Financing!V12</f>
        <v>-266</v>
      </c>
      <c r="W54" s="60" t="n">
        <f aca="false">-Financing!W12</f>
        <v>-252</v>
      </c>
      <c r="X54" s="60" t="n">
        <f aca="false">-Financing!X12</f>
        <v>-238</v>
      </c>
      <c r="Y54" s="60" t="n">
        <f aca="false">-Financing!Y12</f>
        <v>-224</v>
      </c>
      <c r="Z54" s="60" t="n">
        <f aca="false">-Financing!Z12</f>
        <v>-210</v>
      </c>
      <c r="AA54" s="60" t="n">
        <f aca="false">-Financing!AA12</f>
        <v>-196</v>
      </c>
      <c r="AB54" s="60" t="n">
        <f aca="false">-Financing!AB12</f>
        <v>-182</v>
      </c>
    </row>
    <row r="55" customFormat="false" ht="15" hidden="false" customHeight="false" outlineLevel="0" collapsed="false">
      <c r="A55" s="28" t="s">
        <v>459</v>
      </c>
      <c r="B55" s="58" t="s">
        <v>447</v>
      </c>
      <c r="C55" s="59" t="n">
        <f aca="false">SUM(E55:P55)</f>
        <v>-36000</v>
      </c>
      <c r="D55" s="59" t="n">
        <f aca="false">SUM(Q55:AB55)</f>
        <v>-36000</v>
      </c>
      <c r="E55" s="60" t="n">
        <f aca="false">Financing!E10</f>
        <v>-3000</v>
      </c>
      <c r="F55" s="60" t="n">
        <f aca="false">Financing!F10</f>
        <v>-3000</v>
      </c>
      <c r="G55" s="60" t="n">
        <f aca="false">Financing!G10</f>
        <v>-3000</v>
      </c>
      <c r="H55" s="60" t="n">
        <f aca="false">Financing!H10</f>
        <v>-3000</v>
      </c>
      <c r="I55" s="60" t="n">
        <f aca="false">Financing!I10</f>
        <v>-3000</v>
      </c>
      <c r="J55" s="60" t="n">
        <f aca="false">Financing!J10</f>
        <v>-3000</v>
      </c>
      <c r="K55" s="60" t="n">
        <f aca="false">Financing!K10</f>
        <v>-3000</v>
      </c>
      <c r="L55" s="60" t="n">
        <f aca="false">Financing!L10</f>
        <v>-3000</v>
      </c>
      <c r="M55" s="60" t="n">
        <f aca="false">Financing!M10</f>
        <v>-3000</v>
      </c>
      <c r="N55" s="60" t="n">
        <f aca="false">Financing!N10</f>
        <v>-3000</v>
      </c>
      <c r="O55" s="60" t="n">
        <f aca="false">Financing!O10</f>
        <v>-3000</v>
      </c>
      <c r="P55" s="60" t="n">
        <f aca="false">Financing!P10</f>
        <v>-3000</v>
      </c>
      <c r="Q55" s="60" t="n">
        <f aca="false">Financing!Q10</f>
        <v>-3000</v>
      </c>
      <c r="R55" s="60" t="n">
        <f aca="false">Financing!R10</f>
        <v>-3000</v>
      </c>
      <c r="S55" s="60" t="n">
        <f aca="false">Financing!S10</f>
        <v>-3000</v>
      </c>
      <c r="T55" s="60" t="n">
        <f aca="false">Financing!T10</f>
        <v>-3000</v>
      </c>
      <c r="U55" s="60" t="n">
        <f aca="false">Financing!U10</f>
        <v>-3000</v>
      </c>
      <c r="V55" s="60" t="n">
        <f aca="false">Financing!V10</f>
        <v>-3000</v>
      </c>
      <c r="W55" s="60" t="n">
        <f aca="false">Financing!W10</f>
        <v>-3000</v>
      </c>
      <c r="X55" s="60" t="n">
        <f aca="false">Financing!X10</f>
        <v>-3000</v>
      </c>
      <c r="Y55" s="60" t="n">
        <f aca="false">Financing!Y10</f>
        <v>-3000</v>
      </c>
      <c r="Z55" s="60" t="n">
        <f aca="false">Financing!Z10</f>
        <v>-3000</v>
      </c>
      <c r="AA55" s="60" t="n">
        <f aca="false">Financing!AA10</f>
        <v>-3000</v>
      </c>
      <c r="AB55" s="60" t="n">
        <f aca="false">Financing!AB10</f>
        <v>-3000</v>
      </c>
    </row>
    <row r="56" customFormat="false" ht="15" hidden="false" customHeight="false" outlineLevel="0" collapsed="false">
      <c r="A56" s="28" t="s">
        <v>460</v>
      </c>
      <c r="B56" s="58" t="s">
        <v>447</v>
      </c>
      <c r="C56" s="59" t="n">
        <f aca="false">SUM(E56:P56)</f>
        <v>-280000</v>
      </c>
      <c r="D56" s="59" t="n">
        <f aca="false">SUM(Q56:AB56)</f>
        <v>-214239.142153228</v>
      </c>
      <c r="E56" s="60" t="n">
        <f aca="false">-Financing!E16</f>
        <v>-0</v>
      </c>
      <c r="F56" s="60" t="n">
        <f aca="false">-Financing!F16</f>
        <v>-0</v>
      </c>
      <c r="G56" s="60" t="n">
        <f aca="false">-Financing!G16</f>
        <v>-0</v>
      </c>
      <c r="H56" s="60" t="n">
        <f aca="false">-Financing!H16</f>
        <v>-0</v>
      </c>
      <c r="I56" s="60" t="n">
        <f aca="false">-Financing!I16</f>
        <v>-0</v>
      </c>
      <c r="J56" s="60" t="n">
        <f aca="false">-Financing!J16</f>
        <v>-280000</v>
      </c>
      <c r="K56" s="60" t="n">
        <f aca="false">-Financing!K16</f>
        <v>-0</v>
      </c>
      <c r="L56" s="60" t="n">
        <f aca="false">-Financing!L16</f>
        <v>-0</v>
      </c>
      <c r="M56" s="60" t="n">
        <f aca="false">-Financing!M16</f>
        <v>-0</v>
      </c>
      <c r="N56" s="60" t="n">
        <f aca="false">-Financing!N16</f>
        <v>-0</v>
      </c>
      <c r="O56" s="60" t="n">
        <f aca="false">-Financing!O16</f>
        <v>-0</v>
      </c>
      <c r="P56" s="60" t="n">
        <f aca="false">-Financing!P16</f>
        <v>-0</v>
      </c>
      <c r="Q56" s="60" t="n">
        <f aca="false">-Financing!Q16</f>
        <v>-0</v>
      </c>
      <c r="R56" s="60" t="n">
        <f aca="false">-Financing!R16</f>
        <v>-0</v>
      </c>
      <c r="S56" s="60" t="n">
        <f aca="false">-Financing!S16</f>
        <v>-0</v>
      </c>
      <c r="T56" s="60" t="n">
        <f aca="false">-Financing!T16</f>
        <v>-0</v>
      </c>
      <c r="U56" s="60" t="n">
        <f aca="false">-Financing!U16</f>
        <v>-0</v>
      </c>
      <c r="V56" s="60" t="n">
        <f aca="false">-Financing!V16</f>
        <v>-214239.142153228</v>
      </c>
      <c r="W56" s="60" t="n">
        <f aca="false">-Financing!W16</f>
        <v>-0</v>
      </c>
      <c r="X56" s="60" t="n">
        <f aca="false">-Financing!X16</f>
        <v>-0</v>
      </c>
      <c r="Y56" s="60" t="n">
        <f aca="false">-Financing!Y16</f>
        <v>-0</v>
      </c>
      <c r="Z56" s="60" t="n">
        <f aca="false">-Financing!Z16</f>
        <v>-0</v>
      </c>
      <c r="AA56" s="60" t="n">
        <f aca="false">-Financing!AA16</f>
        <v>-0</v>
      </c>
      <c r="AB56" s="60" t="n">
        <f aca="false">-Financing!AB16</f>
        <v>-0</v>
      </c>
    </row>
    <row r="57" customFormat="false" ht="15" hidden="false" customHeight="false" outlineLevel="0" collapsed="false">
      <c r="A57" s="68" t="s">
        <v>461</v>
      </c>
      <c r="B57" s="69"/>
      <c r="C57" s="70" t="n">
        <f aca="false">SUM(E57:P57)</f>
        <v>126534.283029221</v>
      </c>
      <c r="D57" s="70" t="n">
        <f aca="false">SUM(Q57:AB57)</f>
        <v>191225.577535952</v>
      </c>
      <c r="E57" s="70" t="n">
        <f aca="false">E41+E42+E43+E44+E45+E46+E47+E48+E49+E50+E51+E52+E53+E54+E55+E56</f>
        <v>6554.93045200261</v>
      </c>
      <c r="F57" s="70" t="n">
        <f aca="false">F41+F42+F43+F44+F45+F46+F47+F48+F49+F50+F51+F52+F53+F54+F55+F56</f>
        <v>183322.699749204</v>
      </c>
      <c r="G57" s="70" t="n">
        <f aca="false">G41+G42+G43+G44+G45+G46+G47+G48+G49+G50+G51+G52+G53+G54+G55+G56</f>
        <v>-96565.423090705</v>
      </c>
      <c r="H57" s="70" t="n">
        <f aca="false">H41+H42+H43+H44+H45+H46+H47+H48+H49+H50+H51+H52+H53+H54+H55+H56</f>
        <v>-58791.156184544</v>
      </c>
      <c r="I57" s="70" t="n">
        <f aca="false">I41+I42+I43+I44+I45+I46+I47+I48+I49+I50+I51+I52+I53+I54+I55+I56</f>
        <v>80036.7792020092</v>
      </c>
      <c r="J57" s="70" t="n">
        <f aca="false">J41+J42+J43+J44+J45+J46+J47+J48+J49+J50+J51+J52+J53+J54+J55+J56</f>
        <v>-328070.354829544</v>
      </c>
      <c r="K57" s="70" t="n">
        <f aca="false">K41+K42+K43+K44+K45+K46+K47+K48+K49+K50+K51+K52+K53+K54+K55+K56</f>
        <v>5676.50965449553</v>
      </c>
      <c r="L57" s="70" t="n">
        <f aca="false">L41+L42+L43+L44+L45+L46+L47+L48+L49+L50+L51+L52+L53+L54+L55+L56</f>
        <v>89724.0643907629</v>
      </c>
      <c r="M57" s="70" t="n">
        <f aca="false">M41+M42+M43+M44+M45+M46+M47+M48+M49+M50+M51+M52+M53+M54+M55+M56</f>
        <v>-28561.809886921</v>
      </c>
      <c r="N57" s="70" t="n">
        <f aca="false">N41+N42+N43+N44+N45+N46+N47+N48+N49+N50+N51+N52+N53+N54+N55+N56</f>
        <v>81355.86930952</v>
      </c>
      <c r="O57" s="70" t="n">
        <f aca="false">O41+O42+O43+O44+O45+O46+O47+O48+O49+O50+O51+O52+O53+O54+O55+O56</f>
        <v>147278.378741517</v>
      </c>
      <c r="P57" s="70" t="n">
        <f aca="false">P41+P42+P43+P44+P45+P46+P47+P48+P49+P50+P51+P52+P53+P54+P55+P56</f>
        <v>44573.7955214234</v>
      </c>
      <c r="Q57" s="70" t="n">
        <f aca="false">Q41+Q42+Q43+Q44+Q45+Q46+Q47+Q48+Q49+Q50+Q51+Q52+Q53+Q54+Q55+Q56</f>
        <v>27659.8777140526</v>
      </c>
      <c r="R57" s="70" t="n">
        <f aca="false">R41+R42+R43+R44+R45+R46+R47+R48+R49+R50+R51+R52+R53+R54+R55+R56</f>
        <v>154117.488027726</v>
      </c>
      <c r="S57" s="70" t="n">
        <f aca="false">S41+S42+S43+S44+S45+S46+S47+S48+S49+S50+S51+S52+S53+S54+S55+S56</f>
        <v>-149715.707730126</v>
      </c>
      <c r="T57" s="70" t="n">
        <f aca="false">T41+T42+T43+T44+T45+T46+T47+T48+T49+T50+T51+T52+T53+T54+T55+T56</f>
        <v>-6818.64044127379</v>
      </c>
      <c r="U57" s="70" t="n">
        <f aca="false">U41+U42+U43+U44+U45+U46+U47+U48+U49+U50+U51+U52+U53+U54+U55+U56</f>
        <v>110433.311474159</v>
      </c>
      <c r="V57" s="70" t="n">
        <f aca="false">V41+V42+V43+V44+V45+V46+V47+V48+V49+V50+V51+V52+V53+V54+V55+V56</f>
        <v>-181364.432487692</v>
      </c>
      <c r="W57" s="70" t="n">
        <f aca="false">W41+W42+W43+W44+W45+W46+W47+W48+W49+W50+W51+W52+W53+W54+W55+W56</f>
        <v>-4058.73165808052</v>
      </c>
      <c r="X57" s="70" t="n">
        <f aca="false">X41+X42+X43+X44+X45+X46+X47+X48+X49+X50+X51+X52+X53+X54+X55+X56</f>
        <v>101358.282433424</v>
      </c>
      <c r="Y57" s="70" t="n">
        <f aca="false">Y41+Y42+Y43+Y44+Y45+Y46+Y47+Y48+Y49+Y50+Y51+Y52+Y53+Y54+Y55+Y56</f>
        <v>18827.8424339149</v>
      </c>
      <c r="Z57" s="70" t="n">
        <f aca="false">Z41+Z42+Z43+Z44+Z45+Z46+Z47+Z48+Z49+Z50+Z51+Z52+Z53+Z54+Z55+Z56</f>
        <v>29853.1498426294</v>
      </c>
      <c r="AA57" s="70" t="n">
        <f aca="false">AA41+AA42+AA43+AA44+AA45+AA46+AA47+AA48+AA49+AA50+AA51+AA52+AA53+AA54+AA55+AA56</f>
        <v>97437.5381026491</v>
      </c>
      <c r="AB57" s="70" t="n">
        <f aca="false">AB41+AB42+AB43+AB44+AB45+AB46+AB47+AB48+AB49+AB50+AB51+AB52+AB53+AB54+AB55+AB56</f>
        <v>-6504.40017543199</v>
      </c>
    </row>
    <row r="58" customFormat="false" ht="15" hidden="false" customHeight="false" outlineLevel="0" collapsed="false">
      <c r="A58" s="68" t="s">
        <v>462</v>
      </c>
      <c r="B58" s="69"/>
      <c r="C58" s="70" t="n">
        <f aca="false">SUM(E58:P58)</f>
        <v>0</v>
      </c>
      <c r="D58" s="70" t="n">
        <f aca="false">SUM(Q58:AB58)</f>
        <v>0</v>
      </c>
      <c r="E58" s="70" t="n">
        <f aca="false">ROUND(E36-E57,2)</f>
        <v>-0</v>
      </c>
      <c r="F58" s="70" t="n">
        <f aca="false">ROUND(F36-F57,2)</f>
        <v>0</v>
      </c>
      <c r="G58" s="70" t="n">
        <f aca="false">ROUND(G36-G57,2)</f>
        <v>0</v>
      </c>
      <c r="H58" s="70" t="n">
        <f aca="false">ROUND(H36-H57,2)</f>
        <v>0</v>
      </c>
      <c r="I58" s="70" t="n">
        <f aca="false">ROUND(I36-I57,2)</f>
        <v>0</v>
      </c>
      <c r="J58" s="70" t="n">
        <f aca="false">ROUND(J36-J57,2)</f>
        <v>0</v>
      </c>
      <c r="K58" s="70" t="n">
        <f aca="false">ROUND(K36-K57,2)</f>
        <v>-0</v>
      </c>
      <c r="L58" s="70" t="n">
        <f aca="false">ROUND(L36-L57,2)</f>
        <v>0</v>
      </c>
      <c r="M58" s="70" t="n">
        <f aca="false">ROUND(M36-M57,2)</f>
        <v>0</v>
      </c>
      <c r="N58" s="70" t="n">
        <f aca="false">ROUND(N36-N57,2)</f>
        <v>0</v>
      </c>
      <c r="O58" s="70" t="n">
        <f aca="false">ROUND(O36-O57,2)</f>
        <v>0</v>
      </c>
      <c r="P58" s="70" t="n">
        <f aca="false">ROUND(P36-P57,2)</f>
        <v>0</v>
      </c>
      <c r="Q58" s="70" t="n">
        <f aca="false">ROUND(Q36-Q57,2)</f>
        <v>0</v>
      </c>
      <c r="R58" s="70" t="n">
        <f aca="false">ROUND(R36-R57,2)</f>
        <v>0</v>
      </c>
      <c r="S58" s="70" t="n">
        <f aca="false">ROUND(S36-S57,2)</f>
        <v>0</v>
      </c>
      <c r="T58" s="70" t="n">
        <f aca="false">ROUND(T36-T57,2)</f>
        <v>0</v>
      </c>
      <c r="U58" s="70" t="n">
        <f aca="false">ROUND(U36-U57,2)</f>
        <v>0</v>
      </c>
      <c r="V58" s="70" t="n">
        <f aca="false">ROUND(V36-V57,2)</f>
        <v>0</v>
      </c>
      <c r="W58" s="70" t="n">
        <f aca="false">ROUND(W36-W57,2)</f>
        <v>-0</v>
      </c>
      <c r="X58" s="70" t="n">
        <f aca="false">ROUND(X36-X57,2)</f>
        <v>0</v>
      </c>
      <c r="Y58" s="70" t="n">
        <f aca="false">ROUND(Y36-Y57,2)</f>
        <v>-0</v>
      </c>
      <c r="Z58" s="70" t="n">
        <f aca="false">ROUND(Z36-Z57,2)</f>
        <v>0</v>
      </c>
      <c r="AA58" s="70" t="n">
        <f aca="false">ROUND(AA36-AA57,2)</f>
        <v>0</v>
      </c>
      <c r="AB58" s="70" t="n">
        <f aca="false">ROUND(AB36-AB57,2)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5" min="5" style="0" width="11"/>
    <col collapsed="false" customWidth="true" hidden="false" outlineLevel="0" max="8" min="6" style="0" width="14"/>
    <col collapsed="false" customWidth="true" hidden="false" outlineLevel="0" max="9" min="9" style="0" width="11"/>
    <col collapsed="false" customWidth="true" hidden="false" outlineLevel="0" max="10" min="10" style="0" width="70"/>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463</v>
      </c>
    </row>
    <row r="3" customFormat="false" ht="15" hidden="false" customHeight="false" outlineLevel="0" collapsed="false">
      <c r="A3" s="25" t="s">
        <v>464</v>
      </c>
    </row>
    <row r="5" customFormat="false" ht="15" hidden="false" customHeight="false" outlineLevel="0" collapsed="false">
      <c r="A5" s="26" t="s">
        <v>289</v>
      </c>
      <c r="B5" s="27" t="s">
        <v>465</v>
      </c>
      <c r="C5" s="27" t="s">
        <v>466</v>
      </c>
      <c r="D5" s="27" t="s">
        <v>467</v>
      </c>
      <c r="E5" s="27" t="s">
        <v>468</v>
      </c>
      <c r="F5" s="27" t="s">
        <v>469</v>
      </c>
      <c r="G5" s="27" t="s">
        <v>470</v>
      </c>
      <c r="H5" s="27" t="s">
        <v>467</v>
      </c>
      <c r="I5" s="27" t="s">
        <v>468</v>
      </c>
      <c r="J5" s="27" t="s">
        <v>471</v>
      </c>
    </row>
    <row r="6" customFormat="false" ht="15" hidden="false" customHeight="false" outlineLevel="0" collapsed="false">
      <c r="A6" s="22" t="s">
        <v>472</v>
      </c>
      <c r="B6" s="23"/>
      <c r="C6" s="23"/>
      <c r="D6" s="23"/>
      <c r="E6" s="23"/>
      <c r="F6" s="23"/>
      <c r="G6" s="23"/>
      <c r="H6" s="23"/>
      <c r="I6" s="23"/>
      <c r="J6" s="23"/>
    </row>
    <row r="7" customFormat="false" ht="15" hidden="false" customHeight="false" outlineLevel="0" collapsed="false">
      <c r="A7" s="28" t="s">
        <v>473</v>
      </c>
      <c r="B7" s="67" t="n">
        <f aca="false">SUMIFS(Retainers!$E$172:$AB$172,Assumptions!$E$100:$AB$100,"A")</f>
        <v>16404.9</v>
      </c>
      <c r="C7" s="67" t="n">
        <f aca="false">SUMIFS(Budget_FY26!$E$9:$P$9,Assumptions!$E$99:$P$99,"&lt;="&amp;Assumptions!$C$10)</f>
        <v>16240</v>
      </c>
      <c r="D7" s="72" t="n">
        <f aca="false">B7-C7</f>
        <v>164.900000000001</v>
      </c>
      <c r="E7" s="62" t="n">
        <f aca="false">IF(C7=0,0,D7/ABS(C7))</f>
        <v>0.0101539408866996</v>
      </c>
      <c r="F7" s="67" t="n">
        <f aca="false">Retainers!$C$172</f>
        <v>24568.3440833333</v>
      </c>
      <c r="G7" s="67" t="n">
        <f aca="false">Budget_FY26!$C$9</f>
        <v>24360</v>
      </c>
      <c r="H7" s="72" t="n">
        <f aca="false">F7-G7</f>
        <v>208.344083333333</v>
      </c>
      <c r="I7" s="62" t="n">
        <f aca="false">IF(G7=0,0,H7/ABS(G7))</f>
        <v>0.00855271278051451</v>
      </c>
    </row>
    <row r="8" customFormat="false" ht="15" hidden="false" customHeight="false" outlineLevel="0" collapsed="false">
      <c r="A8" s="28" t="s">
        <v>474</v>
      </c>
      <c r="B8" s="67" t="n">
        <f aca="false">SUMIFS(Projects!$E$310:$AB$310,Assumptions!$E$100:$AB$100,"A")</f>
        <v>6548.2</v>
      </c>
      <c r="C8" s="67" t="n">
        <f aca="false">SUMIFS(Budget_FY26!$E$10:$P$10,Assumptions!$E$99:$P$99,"&lt;="&amp;Assumptions!$C$10)</f>
        <v>7761</v>
      </c>
      <c r="D8" s="72" t="n">
        <f aca="false">B8-C8</f>
        <v>-1212.8</v>
      </c>
      <c r="E8" s="62" t="n">
        <f aca="false">IF(C8=0,0,D8/ABS(C8))</f>
        <v>-0.156268522097668</v>
      </c>
      <c r="F8" s="67" t="n">
        <f aca="false">Projects!$C$310</f>
        <v>9730.28194444445</v>
      </c>
      <c r="G8" s="67" t="n">
        <f aca="false">Budget_FY26!$C$10</f>
        <v>11891</v>
      </c>
      <c r="H8" s="72" t="n">
        <f aca="false">F8-G8</f>
        <v>-2160.71805555556</v>
      </c>
      <c r="I8" s="62" t="n">
        <f aca="false">IF(G8=0,0,H8/ABS(G8))</f>
        <v>-0.181710373858847</v>
      </c>
      <c r="J8" s="46" t="str">
        <f aca="false">"First-half projects started later than budgeted; Norbeck absorbed hours without fees."</f>
        <v>First-half projects started later than budgeted; Norbeck absorbed hours without fees.</v>
      </c>
    </row>
    <row r="9" customFormat="false" ht="15" hidden="false" customHeight="false" outlineLevel="0" collapsed="false">
      <c r="A9" s="28" t="s">
        <v>475</v>
      </c>
      <c r="B9" s="67" t="n">
        <f aca="false">SUMIFS(TM_Media!$E$33:$AB$33,Assumptions!$E$100:$AB$100,"A")</f>
        <v>3195.3</v>
      </c>
      <c r="C9" s="67" t="n">
        <f aca="false">SUMIFS(Budget_FY26!$E$11:$P$11,Assumptions!$E$99:$P$99,"&lt;="&amp;Assumptions!$C$10)</f>
        <v>3714</v>
      </c>
      <c r="D9" s="72" t="n">
        <f aca="false">B9-C9</f>
        <v>-518.7</v>
      </c>
      <c r="E9" s="62" t="n">
        <f aca="false">IF(C9=0,0,D9/ABS(C9))</f>
        <v>-0.139660743134087</v>
      </c>
      <c r="F9" s="67" t="n">
        <f aca="false">TM_Media!$C$33</f>
        <v>5146.23210586882</v>
      </c>
      <c r="G9" s="67" t="n">
        <f aca="false">Budget_FY26!$C$11</f>
        <v>5652</v>
      </c>
      <c r="H9" s="72" t="n">
        <f aca="false">F9-G9</f>
        <v>-505.767894131185</v>
      </c>
      <c r="I9" s="62" t="n">
        <f aca="false">IF(G9=0,0,H9/ABS(G9))</f>
        <v>-0.0894847654159917</v>
      </c>
    </row>
    <row r="10" customFormat="false" ht="15" hidden="false" customHeight="false" outlineLevel="0" collapsed="false">
      <c r="A10" s="28" t="s">
        <v>476</v>
      </c>
      <c r="B10" s="67" t="n">
        <f aca="false">SUMIFS(TM_Media!$E$55:$AB$55,Assumptions!$E$100:$AB$100,"A")</f>
        <v>1960</v>
      </c>
      <c r="C10" s="67" t="n">
        <f aca="false">SUMIFS(Budget_FY26!$E$12:$P$12,Assumptions!$E$99:$P$99,"&lt;="&amp;Assumptions!$C$10)</f>
        <v>1960</v>
      </c>
      <c r="D10" s="72" t="n">
        <f aca="false">B10-C10</f>
        <v>0</v>
      </c>
      <c r="E10" s="62" t="n">
        <f aca="false">IF(C10=0,0,D10/ABS(C10))</f>
        <v>0</v>
      </c>
      <c r="F10" s="67" t="n">
        <f aca="false">TM_Media!$C$55</f>
        <v>2940</v>
      </c>
      <c r="G10" s="67" t="n">
        <f aca="false">Budget_FY26!$C$12</f>
        <v>2940</v>
      </c>
      <c r="H10" s="72" t="n">
        <f aca="false">F10-G10</f>
        <v>0</v>
      </c>
      <c r="I10" s="62" t="n">
        <f aca="false">IF(G10=0,0,H10/ABS(G10))</f>
        <v>0</v>
      </c>
    </row>
    <row r="11" customFormat="false" ht="15" hidden="false" customHeight="false" outlineLevel="0" collapsed="false">
      <c r="A11" s="22" t="s">
        <v>328</v>
      </c>
      <c r="B11" s="23"/>
      <c r="C11" s="23"/>
      <c r="D11" s="23"/>
      <c r="E11" s="23"/>
      <c r="F11" s="23"/>
      <c r="G11" s="23"/>
      <c r="H11" s="23"/>
      <c r="I11" s="23"/>
      <c r="J11" s="23"/>
    </row>
    <row r="12" customFormat="false" ht="22.35" hidden="false" customHeight="false" outlineLevel="0" collapsed="false">
      <c r="A12" s="28" t="s">
        <v>331</v>
      </c>
      <c r="B12" s="60" t="n">
        <f aca="false">SUMIFS(PL!$E$9:$AB$9,Assumptions!$E$100:$AB$100,"A")</f>
        <v>1489288.23495121</v>
      </c>
      <c r="C12" s="60" t="n">
        <f aca="false">SUMIFS(Budget_FY26!$E$15:$P$15,Assumptions!$E$99:$P$99,"&lt;="&amp;Assumptions!$C$10)</f>
        <v>1510648</v>
      </c>
      <c r="D12" s="71" t="n">
        <f aca="false">B12-C12</f>
        <v>-21359.7650487893</v>
      </c>
      <c r="E12" s="62" t="n">
        <f aca="false">IF(C12=0,0,D12/ABS(C12))</f>
        <v>-0.0141394719675195</v>
      </c>
      <c r="F12" s="60" t="n">
        <f aca="false">PL!$C$9</f>
        <v>2264397.52942053</v>
      </c>
      <c r="G12" s="60" t="n">
        <f aca="false">Budget_FY26!$C$15</f>
        <v>2265972</v>
      </c>
      <c r="H12" s="71" t="n">
        <f aca="false">F12-G12</f>
        <v>-1574.47057947516</v>
      </c>
      <c r="I12" s="62" t="n">
        <f aca="false">IF(G12=0,0,H12/ABS(G12))</f>
        <v>-0.000694832318967385</v>
      </c>
      <c r="J12" s="46" t="str">
        <f aca="false">"Quillfield started in April against a January budget; Pellworth won in June (not budgeted); overservicing "&amp;TEXT(SUMIFS(Retainers!$E$173:$AB$173,Assumptions!$E$100:$AB$100,"A"),"#,##0")&amp;" hours."</f>
        <v>Quillfield started in April against a January budget; Pellworth won in June (not budgeted); overservicing 1,870 hours.</v>
      </c>
    </row>
    <row r="13" customFormat="false" ht="15" hidden="false" customHeight="false" outlineLevel="0" collapsed="false">
      <c r="A13" s="28" t="s">
        <v>332</v>
      </c>
      <c r="B13" s="60" t="n">
        <f aca="false">SUMIFS(PL!$E$10:$AB$10,Assumptions!$E$100:$AB$100,"A")</f>
        <v>599705.053064388</v>
      </c>
      <c r="C13" s="60" t="n">
        <f aca="false">SUMIFS(Budget_FY26!$E$16:$P$16,Assumptions!$E$99:$P$99,"&lt;="&amp;Assumptions!$C$10)</f>
        <v>714000</v>
      </c>
      <c r="D13" s="71" t="n">
        <f aca="false">B13-C13</f>
        <v>-114294.946935612</v>
      </c>
      <c r="E13" s="62" t="n">
        <f aca="false">IF(C13=0,0,D13/ABS(C13))</f>
        <v>-0.160076956492454</v>
      </c>
      <c r="F13" s="60" t="n">
        <f aca="false">PL!$C$10</f>
        <v>926786.479342986</v>
      </c>
      <c r="G13" s="60" t="n">
        <f aca="false">Budget_FY26!$C$16</f>
        <v>1094000</v>
      </c>
      <c r="H13" s="71" t="n">
        <f aca="false">F13-G13</f>
        <v>-167213.520657014</v>
      </c>
      <c r="I13" s="62" t="n">
        <f aca="false">IF(G13=0,0,H13/ABS(G13))</f>
        <v>-0.152845996944254</v>
      </c>
      <c r="J13" s="46" t="str">
        <f aca="false">"Hours effect EUR "&amp;TEXT(BvA!H51/1000,"#,##0")&amp;"k, rate effect EUR "&amp;TEXT(BvA!I51/1000,"#,##0")&amp;"k (bridge below)."</f>
        <v>Hours effect EUR -112k, rate effect EUR -3k (bridge below).</v>
      </c>
    </row>
    <row r="14" customFormat="false" ht="15" hidden="false" customHeight="false" outlineLevel="0" collapsed="false">
      <c r="A14" s="28" t="s">
        <v>333</v>
      </c>
      <c r="B14" s="60" t="n">
        <f aca="false">SUMIFS(PL!$E$11:$AB$11,Assumptions!$E$100:$AB$100,"A")</f>
        <v>284598.813236278</v>
      </c>
      <c r="C14" s="60" t="n">
        <f aca="false">SUMIFS(Budget_FY26!$E$17:$P$17,Assumptions!$E$99:$P$99,"&lt;="&amp;Assumptions!$C$10)</f>
        <v>319340</v>
      </c>
      <c r="D14" s="71" t="n">
        <f aca="false">B14-C14</f>
        <v>-34741.1867637217</v>
      </c>
      <c r="E14" s="62" t="n">
        <f aca="false">IF(C14=0,0,D14/ABS(C14))</f>
        <v>-0.108790589226911</v>
      </c>
      <c r="F14" s="60" t="n">
        <f aca="false">PL!$C$11</f>
        <v>460502.243749224</v>
      </c>
      <c r="G14" s="60" t="n">
        <f aca="false">Budget_FY26!$C$17</f>
        <v>486001</v>
      </c>
      <c r="H14" s="71" t="n">
        <f aca="false">F14-G14</f>
        <v>-25498.7562507763</v>
      </c>
      <c r="I14" s="62" t="n">
        <f aca="false">IF(G14=0,0,H14/ABS(G14))</f>
        <v>-0.0524664686919909</v>
      </c>
    </row>
    <row r="15" customFormat="false" ht="15" hidden="false" customHeight="false" outlineLevel="0" collapsed="false">
      <c r="A15" s="28" t="s">
        <v>334</v>
      </c>
      <c r="B15" s="60" t="n">
        <f aca="false">SUMIFS(PL!$E$12:$AB$12,Assumptions!$E$100:$AB$100,"A")</f>
        <v>173122.048555775</v>
      </c>
      <c r="C15" s="60" t="n">
        <f aca="false">SUMIFS(Budget_FY26!$E$18:$P$18,Assumptions!$E$99:$P$99,"&lt;="&amp;Assumptions!$C$10)</f>
        <v>176400</v>
      </c>
      <c r="D15" s="71" t="n">
        <f aca="false">B15-C15</f>
        <v>-3277.95144422512</v>
      </c>
      <c r="E15" s="62" t="n">
        <f aca="false">IF(C15=0,0,D15/ABS(C15))</f>
        <v>-0.0185824911804145</v>
      </c>
      <c r="F15" s="60" t="n">
        <f aca="false">PL!$C$12</f>
        <v>280289.668687739</v>
      </c>
      <c r="G15" s="60" t="n">
        <f aca="false">Budget_FY26!$C$18</f>
        <v>288000</v>
      </c>
      <c r="H15" s="71" t="n">
        <f aca="false">F15-G15</f>
        <v>-7710.33131226129</v>
      </c>
      <c r="I15" s="62" t="n">
        <f aca="false">IF(G15=0,0,H15/ABS(G15))</f>
        <v>-0.0267719837231295</v>
      </c>
      <c r="J15" s="46" t="str">
        <f aca="false">"Client media spend below the budgeted level; fee rates unchanged."</f>
        <v>Client media spend below the budgeted level; fee rates unchanged.</v>
      </c>
    </row>
    <row r="16" customFormat="false" ht="15" hidden="false" customHeight="false" outlineLevel="0" collapsed="false">
      <c r="A16" s="28" t="s">
        <v>335</v>
      </c>
      <c r="B16" s="60" t="n">
        <f aca="false">SUMIFS(PL!$E$13:$AB$13,Assumptions!$E$100:$AB$100,"A")</f>
        <v>11270</v>
      </c>
      <c r="C16" s="60" t="n">
        <f aca="false">SUMIFS(Budget_FY26!$E$19:$P$19,Assumptions!$E$99:$P$99,"&lt;="&amp;Assumptions!$C$10)</f>
        <v>15000</v>
      </c>
      <c r="D16" s="71" t="n">
        <f aca="false">B16-C16</f>
        <v>-3730</v>
      </c>
      <c r="E16" s="62" t="n">
        <f aca="false">IF(C16=0,0,D16/ABS(C16))</f>
        <v>-0.248666666666667</v>
      </c>
      <c r="F16" s="60" t="n">
        <f aca="false">PL!$C$13</f>
        <v>49700</v>
      </c>
      <c r="G16" s="60" t="n">
        <f aca="false">Budget_FY26!$C$19</f>
        <v>55000</v>
      </c>
      <c r="H16" s="71" t="n">
        <f aca="false">F16-G16</f>
        <v>-5300</v>
      </c>
      <c r="I16" s="62" t="n">
        <f aca="false">IF(G16=0,0,H16/ABS(G16))</f>
        <v>-0.0963636363636364</v>
      </c>
    </row>
    <row r="17" customFormat="false" ht="15" hidden="false" customHeight="false" outlineLevel="0" collapsed="false">
      <c r="A17" s="73" t="s">
        <v>336</v>
      </c>
      <c r="B17" s="74" t="n">
        <f aca="false">SUMIFS(PL!$E$14:$AB$14,Assumptions!$E$100:$AB$100,"A")</f>
        <v>2557984.14980765</v>
      </c>
      <c r="C17" s="74" t="n">
        <f aca="false">SUMIFS(Budget_FY26!$E$20:$P$20,Assumptions!$E$99:$P$99,"&lt;="&amp;Assumptions!$C$10)</f>
        <v>2735388</v>
      </c>
      <c r="D17" s="70" t="n">
        <f aca="false">B17-C17</f>
        <v>-177403.850192348</v>
      </c>
      <c r="E17" s="75" t="n">
        <f aca="false">IF(C17=0,0,D17/ABS(C17))</f>
        <v>-0.064855095581449</v>
      </c>
      <c r="F17" s="74" t="n">
        <f aca="false">PL!$C$14</f>
        <v>3981675.92120047</v>
      </c>
      <c r="G17" s="74" t="n">
        <f aca="false">Budget_FY26!$C$20</f>
        <v>4188973</v>
      </c>
      <c r="H17" s="70" t="n">
        <f aca="false">F17-G17</f>
        <v>-207297.078799527</v>
      </c>
      <c r="I17" s="75" t="n">
        <f aca="false">IF(G17=0,0,H17/ABS(G17))</f>
        <v>-0.0494863726263041</v>
      </c>
      <c r="J17" s="76"/>
    </row>
    <row r="18" customFormat="false" ht="15" hidden="false" customHeight="false" outlineLevel="0" collapsed="false">
      <c r="A18" s="28" t="s">
        <v>477</v>
      </c>
      <c r="B18" s="60" t="n">
        <f aca="false">SUMIFS(PL!$E$15:$AB$15,Assumptions!$E$100:$AB$100,"A")</f>
        <v>-9800</v>
      </c>
      <c r="C18" s="60" t="n">
        <f aca="false">SUMIFS(Budget_FY26!$E$21:$P$21,Assumptions!$E$99:$P$99,"&lt;="&amp;Assumptions!$C$10)</f>
        <v>-13158</v>
      </c>
      <c r="D18" s="71" t="n">
        <f aca="false">B18-C18</f>
        <v>3358</v>
      </c>
      <c r="E18" s="62" t="n">
        <f aca="false">IF(C18=0,0,D18/ABS(C18))</f>
        <v>0.255205958352333</v>
      </c>
      <c r="F18" s="60" t="n">
        <f aca="false">PL!$C$15</f>
        <v>-44000</v>
      </c>
      <c r="G18" s="60" t="n">
        <f aca="false">Budget_FY26!$C$21</f>
        <v>-48246</v>
      </c>
      <c r="H18" s="71" t="n">
        <f aca="false">F18-G18</f>
        <v>4246</v>
      </c>
      <c r="I18" s="62" t="n">
        <f aca="false">IF(G18=0,0,H18/ABS(G18))</f>
        <v>0.0880072959416325</v>
      </c>
    </row>
    <row r="19" customFormat="false" ht="15" hidden="false" customHeight="false" outlineLevel="0" collapsed="false">
      <c r="A19" s="73" t="s">
        <v>338</v>
      </c>
      <c r="B19" s="74" t="n">
        <f aca="false">SUMIFS(PL!$E$16:$AB$16,Assumptions!$E$100:$AB$100,"A")</f>
        <v>2548184.14980765</v>
      </c>
      <c r="C19" s="74" t="n">
        <f aca="false">SUMIFS(Budget_FY26!$E$22:$P$22,Assumptions!$E$99:$P$99,"&lt;="&amp;Assumptions!$C$10)</f>
        <v>2722230</v>
      </c>
      <c r="D19" s="70" t="n">
        <f aca="false">B19-C19</f>
        <v>-174045.850192348</v>
      </c>
      <c r="E19" s="75" t="n">
        <f aca="false">IF(C19=0,0,D19/ABS(C19))</f>
        <v>-0.0639350276032328</v>
      </c>
      <c r="F19" s="74" t="n">
        <f aca="false">PL!$C$16</f>
        <v>3937675.92120047</v>
      </c>
      <c r="G19" s="74" t="n">
        <f aca="false">Budget_FY26!$C$22</f>
        <v>4140727</v>
      </c>
      <c r="H19" s="70" t="n">
        <f aca="false">F19-G19</f>
        <v>-203051.078799527</v>
      </c>
      <c r="I19" s="75" t="n">
        <f aca="false">IF(G19=0,0,H19/ABS(G19))</f>
        <v>-0.0490375431173142</v>
      </c>
      <c r="J19" s="76"/>
    </row>
    <row r="20" customFormat="false" ht="15" hidden="false" customHeight="false" outlineLevel="0" collapsed="false">
      <c r="A20" s="28" t="s">
        <v>478</v>
      </c>
      <c r="B20" s="60" t="n">
        <f aca="false">SUMIFS(PL!$E$19:$AB$19,Assumptions!$E$100:$AB$100,"A")</f>
        <v>-1444249.242</v>
      </c>
      <c r="C20" s="60" t="n">
        <f aca="false">SUMIFS(Budget_FY26!$E$24:$P$24,Assumptions!$E$99:$P$99,"&lt;="&amp;Assumptions!$C$10)</f>
        <v>-1469658</v>
      </c>
      <c r="D20" s="71" t="n">
        <f aca="false">B20-C20</f>
        <v>25408.7579999999</v>
      </c>
      <c r="E20" s="62" t="n">
        <f aca="false">IF(C20=0,0,D20/ABS(C20))</f>
        <v>0.0172888917013345</v>
      </c>
      <c r="F20" s="60" t="n">
        <f aca="false">PL!$C$19</f>
        <v>-2200085.442</v>
      </c>
      <c r="G20" s="60" t="n">
        <f aca="false">Budget_FY26!$C$24</f>
        <v>-2210374</v>
      </c>
      <c r="H20" s="71" t="n">
        <f aca="false">F20-G20</f>
        <v>10288.5579999997</v>
      </c>
      <c r="I20" s="62" t="n">
        <f aca="false">IF(G20=0,0,H20/ABS(G20))</f>
        <v>0.00465466839548408</v>
      </c>
      <c r="J20" s="46" t="str">
        <f aca="false">"Developer hired in April; one content producer left in May, not replaced."</f>
        <v>Developer hired in April; one content producer left in May, not replaced.</v>
      </c>
    </row>
    <row r="21" customFormat="false" ht="15" hidden="false" customHeight="false" outlineLevel="0" collapsed="false">
      <c r="A21" s="28" t="s">
        <v>343</v>
      </c>
      <c r="B21" s="60" t="n">
        <f aca="false">SUMIFS(PL!$E$20:$AB$20,Assumptions!$E$100:$AB$100,"A")</f>
        <v>-145547.87</v>
      </c>
      <c r="C21" s="60" t="n">
        <f aca="false">SUMIFS(Budget_FY26!$E$25:$P$25,Assumptions!$E$99:$P$99,"&lt;="&amp;Assumptions!$C$10)</f>
        <v>-96000</v>
      </c>
      <c r="D21" s="71" t="n">
        <f aca="false">B21-C21</f>
        <v>-49547.87</v>
      </c>
      <c r="E21" s="62" t="n">
        <f aca="false">IF(C21=0,0,D21/ABS(C21))</f>
        <v>-0.516123645833333</v>
      </c>
      <c r="F21" s="60" t="n">
        <f aca="false">PL!$C$20</f>
        <v>-173675.315225214</v>
      </c>
      <c r="G21" s="60" t="n">
        <f aca="false">Budget_FY26!$C$25</f>
        <v>-144000</v>
      </c>
      <c r="H21" s="71" t="n">
        <f aca="false">F21-G21</f>
        <v>-29675.3152252141</v>
      </c>
      <c r="I21" s="62" t="n">
        <f aca="false">IF(G21=0,0,H21/ABS(G21))</f>
        <v>-0.206078577952876</v>
      </c>
      <c r="J21" s="46" t="str">
        <f aca="false">"Development and design at capacity from June: freelancers covered the peak."</f>
        <v>Development and design at capacity from June: freelancers covered the peak.</v>
      </c>
    </row>
    <row r="22" customFormat="false" ht="15" hidden="false" customHeight="false" outlineLevel="0" collapsed="false">
      <c r="A22" s="73" t="s">
        <v>345</v>
      </c>
      <c r="B22" s="74" t="n">
        <f aca="false">SUMIFS(PL!$E$22:$AB$22,Assumptions!$E$100:$AB$100,"A")</f>
        <v>958387.037807651</v>
      </c>
      <c r="C22" s="74" t="n">
        <f aca="false">SUMIFS(Budget_FY26!$E$27:$P$27,Assumptions!$E$99:$P$99,"&lt;="&amp;Assumptions!$C$10)</f>
        <v>1156572</v>
      </c>
      <c r="D22" s="70" t="n">
        <f aca="false">B22-C22</f>
        <v>-198184.962192349</v>
      </c>
      <c r="E22" s="75" t="n">
        <f aca="false">IF(C22=0,0,D22/ABS(C22))</f>
        <v>-0.171355490356285</v>
      </c>
      <c r="F22" s="74" t="n">
        <f aca="false">PL!$C$22</f>
        <v>1563915.16397526</v>
      </c>
      <c r="G22" s="74" t="n">
        <f aca="false">Budget_FY26!$C$27</f>
        <v>1786353</v>
      </c>
      <c r="H22" s="70" t="n">
        <f aca="false">F22-G22</f>
        <v>-222437.836024741</v>
      </c>
      <c r="I22" s="75" t="n">
        <f aca="false">IF(G22=0,0,H22/ABS(G22))</f>
        <v>-0.124520649627896</v>
      </c>
      <c r="J22" s="76"/>
    </row>
    <row r="23" customFormat="false" ht="15" hidden="false" customHeight="false" outlineLevel="0" collapsed="false">
      <c r="A23" s="73" t="s">
        <v>300</v>
      </c>
      <c r="B23" s="75" t="n">
        <f aca="false">IF(B19=0,0,B22/B19)</f>
        <v>0.376105878329082</v>
      </c>
      <c r="C23" s="75" t="n">
        <f aca="false">IF(C19=0,0,C22/C19)</f>
        <v>0.424861969782127</v>
      </c>
      <c r="D23" s="75" t="n">
        <f aca="false">B23-C23</f>
        <v>-0.0487560914530453</v>
      </c>
      <c r="E23" s="76"/>
      <c r="F23" s="75" t="n">
        <f aca="false">IF(F19=0,0,F22/F19)</f>
        <v>0.397167058760506</v>
      </c>
      <c r="G23" s="75" t="n">
        <f aca="false">IF(G19=0,0,G22/G19)</f>
        <v>0.431410474537442</v>
      </c>
      <c r="H23" s="75" t="n">
        <f aca="false">F23-G23</f>
        <v>-0.0342434157769362</v>
      </c>
      <c r="I23" s="76"/>
      <c r="J23" s="76"/>
    </row>
    <row r="24" customFormat="false" ht="15" hidden="false" customHeight="false" outlineLevel="0" collapsed="false">
      <c r="A24" s="28" t="s">
        <v>349</v>
      </c>
      <c r="B24" s="60" t="n">
        <f aca="false">SUMIFS(PL!$E$25:$AB$25,Assumptions!$E$100:$AB$100,"A")</f>
        <v>-260999.646</v>
      </c>
      <c r="C24" s="60" t="n">
        <f aca="false">SUMIFS(Budget_FY26!$E$28:$P$28,Assumptions!$E$99:$P$99,"&lt;="&amp;Assumptions!$C$10)</f>
        <v>-261176</v>
      </c>
      <c r="D24" s="71" t="n">
        <f aca="false">B24-C24</f>
        <v>176.353999999992</v>
      </c>
      <c r="E24" s="62" t="n">
        <f aca="false">IF(C24=0,0,D24/ABS(C24))</f>
        <v>0.000675230495910773</v>
      </c>
      <c r="F24" s="60" t="n">
        <f aca="false">PL!$C$25</f>
        <v>-391588.446</v>
      </c>
      <c r="G24" s="60" t="n">
        <f aca="false">Budget_FY26!$C$28</f>
        <v>-391764</v>
      </c>
      <c r="H24" s="71" t="n">
        <f aca="false">F24-G24</f>
        <v>175.553999999946</v>
      </c>
      <c r="I24" s="62" t="n">
        <f aca="false">IF(G24=0,0,H24/ABS(G24))</f>
        <v>0.000448111618218993</v>
      </c>
    </row>
    <row r="25" customFormat="false" ht="15" hidden="false" customHeight="false" outlineLevel="0" collapsed="false">
      <c r="A25" s="28" t="s">
        <v>479</v>
      </c>
      <c r="B25" s="60" t="n">
        <f aca="false">SUMIFS(PL!$E$26:$AB$26,Assumptions!$E$100:$AB$100,"A")</f>
        <v>-85262.4444</v>
      </c>
      <c r="C25" s="60" t="n">
        <f aca="false">SUMIFS(Budget_FY26!$E$29:$P$29,Assumptions!$E$99:$P$99,"&lt;="&amp;Assumptions!$C$10)</f>
        <v>-86540</v>
      </c>
      <c r="D25" s="71" t="n">
        <f aca="false">B25-C25</f>
        <v>1277.55559999999</v>
      </c>
      <c r="E25" s="62" t="n">
        <f aca="false">IF(C25=0,0,D25/ABS(C25))</f>
        <v>0.0147626022648485</v>
      </c>
      <c r="F25" s="60" t="n">
        <f aca="false">PL!$C$26</f>
        <v>-129583.6944</v>
      </c>
      <c r="G25" s="60" t="n">
        <f aca="false">Budget_FY26!$C$29</f>
        <v>-130104</v>
      </c>
      <c r="H25" s="71" t="n">
        <f aca="false">F25-G25</f>
        <v>520.305599999992</v>
      </c>
      <c r="I25" s="62" t="n">
        <f aca="false">IF(G25=0,0,H25/ABS(G25))</f>
        <v>0.00399915144807225</v>
      </c>
    </row>
    <row r="26" customFormat="false" ht="15" hidden="false" customHeight="false" outlineLevel="0" collapsed="false">
      <c r="A26" s="28" t="s">
        <v>351</v>
      </c>
      <c r="B26" s="60" t="n">
        <f aca="false">SUMIFS(PL!$E$27:$AB$27,Assumptions!$E$100:$AB$100,"A")</f>
        <v>-74871</v>
      </c>
      <c r="C26" s="60" t="n">
        <f aca="false">SUMIFS(Budget_FY26!$E$30:$P$30,Assumptions!$E$99:$P$99,"&lt;="&amp;Assumptions!$C$10)</f>
        <v>-75200</v>
      </c>
      <c r="D26" s="71" t="n">
        <f aca="false">B26-C26</f>
        <v>329</v>
      </c>
      <c r="E26" s="62" t="n">
        <f aca="false">IF(C26=0,0,D26/ABS(C26))</f>
        <v>0.004375</v>
      </c>
      <c r="F26" s="60" t="n">
        <f aca="false">PL!$C$27</f>
        <v>-112471</v>
      </c>
      <c r="G26" s="60" t="n">
        <f aca="false">Budget_FY26!$C$30</f>
        <v>-112800</v>
      </c>
      <c r="H26" s="71" t="n">
        <f aca="false">F26-G26</f>
        <v>329</v>
      </c>
      <c r="I26" s="62" t="n">
        <f aca="false">IF(G26=0,0,H26/ABS(G26))</f>
        <v>0.00291666666666667</v>
      </c>
    </row>
    <row r="27" customFormat="false" ht="15" hidden="false" customHeight="false" outlineLevel="0" collapsed="false">
      <c r="A27" s="28" t="s">
        <v>352</v>
      </c>
      <c r="B27" s="60" t="n">
        <f aca="false">SUMIFS(PL!$E$28:$AB$28,Assumptions!$E$100:$AB$100,"A")</f>
        <v>-51410</v>
      </c>
      <c r="C27" s="60" t="n">
        <f aca="false">SUMIFS(Budget_FY26!$E$31:$P$31,Assumptions!$E$99:$P$99,"&lt;="&amp;Assumptions!$C$10)</f>
        <v>-49600</v>
      </c>
      <c r="D27" s="71" t="n">
        <f aca="false">B27-C27</f>
        <v>-1810</v>
      </c>
      <c r="E27" s="62" t="n">
        <f aca="false">IF(C27=0,0,D27/ABS(C27))</f>
        <v>-0.036491935483871</v>
      </c>
      <c r="F27" s="60" t="n">
        <f aca="false">PL!$C$28</f>
        <v>-77410</v>
      </c>
      <c r="G27" s="60" t="n">
        <f aca="false">Budget_FY26!$C$31</f>
        <v>-74400</v>
      </c>
      <c r="H27" s="71" t="n">
        <f aca="false">F27-G27</f>
        <v>-3010</v>
      </c>
      <c r="I27" s="62" t="n">
        <f aca="false">IF(G27=0,0,H27/ABS(G27))</f>
        <v>-0.0404569892473118</v>
      </c>
    </row>
    <row r="28" customFormat="false" ht="15" hidden="false" customHeight="false" outlineLevel="0" collapsed="false">
      <c r="A28" s="28" t="s">
        <v>353</v>
      </c>
      <c r="B28" s="60" t="n">
        <f aca="false">SUMIFS(PL!$E$29:$AB$29,Assumptions!$E$100:$AB$100,"A")</f>
        <v>-39657</v>
      </c>
      <c r="C28" s="60" t="n">
        <f aca="false">SUMIFS(Budget_FY26!$E$32:$P$32,Assumptions!$E$99:$P$99,"&lt;="&amp;Assumptions!$C$10)</f>
        <v>-40000</v>
      </c>
      <c r="D28" s="71" t="n">
        <f aca="false">B28-C28</f>
        <v>343</v>
      </c>
      <c r="E28" s="62" t="n">
        <f aca="false">IF(C28=0,0,D28/ABS(C28))</f>
        <v>0.008575</v>
      </c>
      <c r="F28" s="60" t="n">
        <f aca="false">PL!$C$29</f>
        <v>-60057</v>
      </c>
      <c r="G28" s="60" t="n">
        <f aca="false">Budget_FY26!$C$32</f>
        <v>-60000</v>
      </c>
      <c r="H28" s="71" t="n">
        <f aca="false">F28-G28</f>
        <v>-57</v>
      </c>
      <c r="I28" s="62" t="n">
        <f aca="false">IF(G28=0,0,H28/ABS(G28))</f>
        <v>-0.00095</v>
      </c>
    </row>
    <row r="29" customFormat="false" ht="15" hidden="false" customHeight="false" outlineLevel="0" collapsed="false">
      <c r="A29" s="28" t="s">
        <v>354</v>
      </c>
      <c r="B29" s="60" t="n">
        <f aca="false">SUMIFS(PL!$E$30:$AB$30,Assumptions!$E$100:$AB$100,"A")</f>
        <v>-30898</v>
      </c>
      <c r="C29" s="60" t="n">
        <f aca="false">SUMIFS(Budget_FY26!$E$33:$P$33,Assumptions!$E$99:$P$99,"&lt;="&amp;Assumptions!$C$10)</f>
        <v>-28800</v>
      </c>
      <c r="D29" s="71" t="n">
        <f aca="false">B29-C29</f>
        <v>-2098</v>
      </c>
      <c r="E29" s="62" t="n">
        <f aca="false">IF(C29=0,0,D29/ABS(C29))</f>
        <v>-0.0728472222222222</v>
      </c>
      <c r="F29" s="60" t="n">
        <f aca="false">PL!$C$30</f>
        <v>-45698</v>
      </c>
      <c r="G29" s="60" t="n">
        <f aca="false">Budget_FY26!$C$33</f>
        <v>-43200</v>
      </c>
      <c r="H29" s="71" t="n">
        <f aca="false">F29-G29</f>
        <v>-2498</v>
      </c>
      <c r="I29" s="62" t="n">
        <f aca="false">IF(G29=0,0,H29/ABS(G29))</f>
        <v>-0.0578240740740741</v>
      </c>
    </row>
    <row r="30" customFormat="false" ht="15" hidden="false" customHeight="false" outlineLevel="0" collapsed="false">
      <c r="A30" s="28" t="s">
        <v>355</v>
      </c>
      <c r="B30" s="60" t="n">
        <f aca="false">SUMIFS(PL!$E$31:$AB$31,Assumptions!$E$100:$AB$100,"A")</f>
        <v>-15400</v>
      </c>
      <c r="C30" s="60" t="n">
        <f aca="false">SUMIFS(Budget_FY26!$E$34:$P$34,Assumptions!$E$99:$P$99,"&lt;="&amp;Assumptions!$C$10)</f>
        <v>-12800</v>
      </c>
      <c r="D30" s="71" t="n">
        <f aca="false">B30-C30</f>
        <v>-2600</v>
      </c>
      <c r="E30" s="62" t="n">
        <f aca="false">IF(C30=0,0,D30/ABS(C30))</f>
        <v>-0.203125</v>
      </c>
      <c r="F30" s="60" t="n">
        <f aca="false">PL!$C$31</f>
        <v>-27600</v>
      </c>
      <c r="G30" s="60" t="n">
        <f aca="false">Budget_FY26!$C$34</f>
        <v>-19200</v>
      </c>
      <c r="H30" s="71" t="n">
        <f aca="false">F30-G30</f>
        <v>-8400</v>
      </c>
      <c r="I30" s="62" t="n">
        <f aca="false">IF(G30=0,0,H30/ABS(G30))</f>
        <v>-0.4375</v>
      </c>
    </row>
    <row r="31" customFormat="false" ht="15" hidden="false" customHeight="false" outlineLevel="0" collapsed="false">
      <c r="A31" s="28" t="s">
        <v>356</v>
      </c>
      <c r="B31" s="60" t="n">
        <f aca="false">SUMIFS(PL!$E$32:$AB$32,Assumptions!$E$100:$AB$100,"A")</f>
        <v>-17774</v>
      </c>
      <c r="C31" s="60" t="n">
        <f aca="false">SUMIFS(Budget_FY26!$E$35:$P$35,Assumptions!$E$99:$P$99,"&lt;="&amp;Assumptions!$C$10)</f>
        <v>-17600</v>
      </c>
      <c r="D31" s="71" t="n">
        <f aca="false">B31-C31</f>
        <v>-174</v>
      </c>
      <c r="E31" s="62" t="n">
        <f aca="false">IF(C31=0,0,D31/ABS(C31))</f>
        <v>-0.00988636363636364</v>
      </c>
      <c r="F31" s="60" t="n">
        <f aca="false">PL!$C$32</f>
        <v>-26574</v>
      </c>
      <c r="G31" s="60" t="n">
        <f aca="false">Budget_FY26!$C$35</f>
        <v>-26400</v>
      </c>
      <c r="H31" s="71" t="n">
        <f aca="false">F31-G31</f>
        <v>-174</v>
      </c>
      <c r="I31" s="62" t="n">
        <f aca="false">IF(G31=0,0,H31/ABS(G31))</f>
        <v>-0.00659090909090909</v>
      </c>
    </row>
    <row r="32" customFormat="false" ht="15" hidden="false" customHeight="false" outlineLevel="0" collapsed="false">
      <c r="A32" s="28" t="s">
        <v>357</v>
      </c>
      <c r="B32" s="60" t="n">
        <f aca="false">SUMIFS(PL!$E$33:$AB$33,Assumptions!$E$100:$AB$100,"A")</f>
        <v>-21127</v>
      </c>
      <c r="C32" s="60" t="n">
        <f aca="false">SUMIFS(Budget_FY26!$E$36:$P$36,Assumptions!$E$99:$P$99,"&lt;="&amp;Assumptions!$C$10)</f>
        <v>-20000</v>
      </c>
      <c r="D32" s="71" t="n">
        <f aca="false">B32-C32</f>
        <v>-1127</v>
      </c>
      <c r="E32" s="62" t="n">
        <f aca="false">IF(C32=0,0,D32/ABS(C32))</f>
        <v>-0.05635</v>
      </c>
      <c r="F32" s="60" t="n">
        <f aca="false">PL!$C$33</f>
        <v>-31527</v>
      </c>
      <c r="G32" s="60" t="n">
        <f aca="false">Budget_FY26!$C$36</f>
        <v>-30000</v>
      </c>
      <c r="H32" s="71" t="n">
        <f aca="false">F32-G32</f>
        <v>-1527</v>
      </c>
      <c r="I32" s="62" t="n">
        <f aca="false">IF(G32=0,0,H32/ABS(G32))</f>
        <v>-0.0509</v>
      </c>
    </row>
    <row r="33" customFormat="false" ht="15" hidden="false" customHeight="false" outlineLevel="0" collapsed="false">
      <c r="A33" s="28" t="s">
        <v>358</v>
      </c>
      <c r="B33" s="60" t="n">
        <f aca="false">SUMIFS(PL!$E$34:$AB$34,Assumptions!$E$100:$AB$100,"A")</f>
        <v>-6928</v>
      </c>
      <c r="C33" s="60" t="n">
        <f aca="false">SUMIFS(Budget_FY26!$E$37:$P$37,Assumptions!$E$99:$P$99,"&lt;="&amp;Assumptions!$C$10)</f>
        <v>-7200</v>
      </c>
      <c r="D33" s="71" t="n">
        <f aca="false">B33-C33</f>
        <v>272</v>
      </c>
      <c r="E33" s="62" t="n">
        <f aca="false">IF(C33=0,0,D33/ABS(C33))</f>
        <v>0.0377777777777778</v>
      </c>
      <c r="F33" s="60" t="n">
        <f aca="false">PL!$C$34</f>
        <v>-10528</v>
      </c>
      <c r="G33" s="60" t="n">
        <f aca="false">Budget_FY26!$C$37</f>
        <v>-10800</v>
      </c>
      <c r="H33" s="71" t="n">
        <f aca="false">F33-G33</f>
        <v>272</v>
      </c>
      <c r="I33" s="62" t="n">
        <f aca="false">IF(G33=0,0,H33/ABS(G33))</f>
        <v>0.0251851851851852</v>
      </c>
    </row>
    <row r="34" customFormat="false" ht="15" hidden="false" customHeight="false" outlineLevel="0" collapsed="false">
      <c r="A34" s="28" t="s">
        <v>359</v>
      </c>
      <c r="B34" s="60" t="n">
        <f aca="false">SUMIFS(PL!$E$35:$AB$35,Assumptions!$E$100:$AB$100,"A")</f>
        <v>-15745</v>
      </c>
      <c r="C34" s="60" t="n">
        <f aca="false">SUMIFS(Budget_FY26!$E$38:$P$38,Assumptions!$E$99:$P$99,"&lt;="&amp;Assumptions!$C$10)</f>
        <v>-16000</v>
      </c>
      <c r="D34" s="71" t="n">
        <f aca="false">B34-C34</f>
        <v>255</v>
      </c>
      <c r="E34" s="62" t="n">
        <f aca="false">IF(C34=0,0,D34/ABS(C34))</f>
        <v>0.0159375</v>
      </c>
      <c r="F34" s="60" t="n">
        <f aca="false">PL!$C$35</f>
        <v>-24145</v>
      </c>
      <c r="G34" s="60" t="n">
        <f aca="false">Budget_FY26!$C$38</f>
        <v>-24000</v>
      </c>
      <c r="H34" s="71" t="n">
        <f aca="false">F34-G34</f>
        <v>-145</v>
      </c>
      <c r="I34" s="62" t="n">
        <f aca="false">IF(G34=0,0,H34/ABS(G34))</f>
        <v>-0.00604166666666667</v>
      </c>
    </row>
    <row r="35" customFormat="false" ht="15" hidden="false" customHeight="false" outlineLevel="0" collapsed="false">
      <c r="A35" s="28" t="s">
        <v>360</v>
      </c>
      <c r="B35" s="60" t="n">
        <f aca="false">SUMIFS(PL!$E$36:$AB$36,Assumptions!$E$100:$AB$100,"A")</f>
        <v>-15064</v>
      </c>
      <c r="C35" s="60" t="n">
        <f aca="false">SUMIFS(Budget_FY26!$E$39:$P$39,Assumptions!$E$99:$P$99,"&lt;="&amp;Assumptions!$C$10)</f>
        <v>-14400</v>
      </c>
      <c r="D35" s="71" t="n">
        <f aca="false">B35-C35</f>
        <v>-664</v>
      </c>
      <c r="E35" s="62" t="n">
        <f aca="false">IF(C35=0,0,D35/ABS(C35))</f>
        <v>-0.0461111111111111</v>
      </c>
      <c r="F35" s="60" t="n">
        <f aca="false">PL!$C$36</f>
        <v>-22664</v>
      </c>
      <c r="G35" s="60" t="n">
        <f aca="false">Budget_FY26!$C$39</f>
        <v>-21600</v>
      </c>
      <c r="H35" s="71" t="n">
        <f aca="false">F35-G35</f>
        <v>-1064</v>
      </c>
      <c r="I35" s="62" t="n">
        <f aca="false">IF(G35=0,0,H35/ABS(G35))</f>
        <v>-0.0492592592592593</v>
      </c>
    </row>
    <row r="36" customFormat="false" ht="15" hidden="false" customHeight="false" outlineLevel="0" collapsed="false">
      <c r="A36" s="28" t="s">
        <v>361</v>
      </c>
      <c r="B36" s="60" t="n">
        <f aca="false">SUMIFS(PL!$E$37:$AB$37,Assumptions!$E$100:$AB$100,"A")</f>
        <v>-8904</v>
      </c>
      <c r="C36" s="60" t="n">
        <f aca="false">SUMIFS(Budget_FY26!$E$40:$P$40,Assumptions!$E$99:$P$99,"&lt;="&amp;Assumptions!$C$10)</f>
        <v>-8000</v>
      </c>
      <c r="D36" s="71" t="n">
        <f aca="false">B36-C36</f>
        <v>-904</v>
      </c>
      <c r="E36" s="62" t="n">
        <f aca="false">IF(C36=0,0,D36/ABS(C36))</f>
        <v>-0.113</v>
      </c>
      <c r="F36" s="60" t="n">
        <f aca="false">PL!$C$37</f>
        <v>-13504</v>
      </c>
      <c r="G36" s="60" t="n">
        <f aca="false">Budget_FY26!$C$40</f>
        <v>-12000</v>
      </c>
      <c r="H36" s="71" t="n">
        <f aca="false">F36-G36</f>
        <v>-1504</v>
      </c>
      <c r="I36" s="62" t="n">
        <f aca="false">IF(G36=0,0,H36/ABS(G36))</f>
        <v>-0.125333333333333</v>
      </c>
    </row>
    <row r="37" customFormat="false" ht="15" hidden="false" customHeight="false" outlineLevel="0" collapsed="false">
      <c r="A37" s="28" t="s">
        <v>480</v>
      </c>
      <c r="B37" s="60" t="n">
        <f aca="false">SUMIFS(PL!$E$38:$AB$38,Assumptions!$E$100:$AB$100,"A")</f>
        <v>-7240.65</v>
      </c>
      <c r="C37" s="60" t="n">
        <f aca="false">SUMIFS(Budget_FY26!$E$41:$P$41,Assumptions!$E$99:$P$99,"&lt;="&amp;Assumptions!$C$10)</f>
        <v>0</v>
      </c>
      <c r="D37" s="71" t="n">
        <f aca="false">B37-C37</f>
        <v>-7240.65</v>
      </c>
      <c r="E37" s="62" t="n">
        <f aca="false">IF(C37=0,0,D37/ABS(C37))</f>
        <v>0</v>
      </c>
      <c r="F37" s="60" t="n">
        <f aca="false">PL!$C$38</f>
        <v>-7114.5222490514</v>
      </c>
      <c r="G37" s="60" t="n">
        <f aca="false">Budget_FY26!$C$41</f>
        <v>0</v>
      </c>
      <c r="H37" s="71" t="n">
        <f aca="false">F37-G37</f>
        <v>-7114.5222490514</v>
      </c>
      <c r="I37" s="62" t="n">
        <f aca="false">IF(G37=0,0,H37/ABS(G37))</f>
        <v>0</v>
      </c>
      <c r="J37" s="46" t="str">
        <f aca="false">"Half of the disputed Norbeck change request CR-03 provided in June."</f>
        <v>Half of the disputed Norbeck change request CR-03 provided in June.</v>
      </c>
    </row>
    <row r="38" customFormat="false" ht="15" hidden="false" customHeight="false" outlineLevel="0" collapsed="false">
      <c r="A38" s="73" t="s">
        <v>363</v>
      </c>
      <c r="B38" s="74" t="n">
        <f aca="false">SUMIFS(PL!$E$39:$AB$39,Assumptions!$E$100:$AB$100,"A")</f>
        <v>-651280.7404</v>
      </c>
      <c r="C38" s="74" t="n">
        <f aca="false">SUMIFS(Budget_FY26!$E$42:$P$42,Assumptions!$E$99:$P$99,"&lt;="&amp;Assumptions!$C$10)</f>
        <v>-637316</v>
      </c>
      <c r="D38" s="70" t="n">
        <f aca="false">B38-C38</f>
        <v>-13964.7404</v>
      </c>
      <c r="E38" s="75" t="n">
        <f aca="false">IF(C38=0,0,D38/ABS(C38))</f>
        <v>-0.0219117994840864</v>
      </c>
      <c r="F38" s="74" t="n">
        <f aca="false">PL!$C$39</f>
        <v>-980464.662649051</v>
      </c>
      <c r="G38" s="74" t="n">
        <f aca="false">Budget_FY26!$C$42</f>
        <v>-956268</v>
      </c>
      <c r="H38" s="70" t="n">
        <f aca="false">F38-G38</f>
        <v>-24196.6626490514</v>
      </c>
      <c r="I38" s="75" t="n">
        <f aca="false">IF(G38=0,0,H38/ABS(G38))</f>
        <v>-0.0253032232063097</v>
      </c>
      <c r="J38" s="76"/>
    </row>
    <row r="39" customFormat="false" ht="15" hidden="false" customHeight="false" outlineLevel="0" collapsed="false">
      <c r="A39" s="73" t="s">
        <v>303</v>
      </c>
      <c r="B39" s="74" t="n">
        <f aca="false">SUMIFS(PL!$E$40:$AB$40,Assumptions!$E$100:$AB$100,"A")</f>
        <v>307106.297407651</v>
      </c>
      <c r="C39" s="74" t="n">
        <f aca="false">SUMIFS(Budget_FY26!$E$43:$P$43,Assumptions!$E$99:$P$99,"&lt;="&amp;Assumptions!$C$10)</f>
        <v>519256</v>
      </c>
      <c r="D39" s="70" t="n">
        <f aca="false">B39-C39</f>
        <v>-212149.702592349</v>
      </c>
      <c r="E39" s="75" t="n">
        <f aca="false">IF(C39=0,0,D39/ABS(C39))</f>
        <v>-0.408564759179188</v>
      </c>
      <c r="F39" s="74" t="n">
        <f aca="false">PL!$C$40</f>
        <v>583450.501326207</v>
      </c>
      <c r="G39" s="74" t="n">
        <f aca="false">Budget_FY26!$C$43</f>
        <v>830085</v>
      </c>
      <c r="H39" s="70" t="n">
        <f aca="false">F39-G39</f>
        <v>-246634.498673793</v>
      </c>
      <c r="I39" s="75" t="n">
        <f aca="false">IF(G39=0,0,H39/ABS(G39))</f>
        <v>-0.297119570494338</v>
      </c>
      <c r="J39" s="77" t="str">
        <f aca="false">"EUR "&amp;TEXT(ABS(D39)/1000,"#,##0")&amp;"k "&amp;IF(D39&lt;0,"behind","ahead of")&amp;" budget YTD; EUR "&amp;TEXT(ABS(H39)/1000,"#,##0")&amp;"k on the full-year outlook."</f>
        <v>EUR 212k behind budget YTD; EUR 247k on the full-year outlook.</v>
      </c>
    </row>
    <row r="40" customFormat="false" ht="15" hidden="false" customHeight="false" outlineLevel="0" collapsed="false">
      <c r="A40" s="73" t="s">
        <v>301</v>
      </c>
      <c r="B40" s="75" t="n">
        <f aca="false">IF(B19=0,0,B39/B19)</f>
        <v>0.120519663946121</v>
      </c>
      <c r="C40" s="75" t="n">
        <f aca="false">IF(C19=0,0,C39/C19)</f>
        <v>0.190746557050653</v>
      </c>
      <c r="D40" s="75" t="n">
        <f aca="false">B40-C40</f>
        <v>-0.0702268931045319</v>
      </c>
      <c r="E40" s="76"/>
      <c r="F40" s="75" t="n">
        <f aca="false">IF(F19=0,0,F39/F19)</f>
        <v>0.14817128504276</v>
      </c>
      <c r="G40" s="75" t="n">
        <f aca="false">IF(G19=0,0,G39/G19)</f>
        <v>0.200468420159069</v>
      </c>
      <c r="H40" s="75" t="n">
        <f aca="false">F40-G40</f>
        <v>-0.0522971351163088</v>
      </c>
      <c r="I40" s="76"/>
      <c r="J40" s="76"/>
    </row>
    <row r="41" customFormat="false" ht="15" hidden="false" customHeight="false" outlineLevel="0" collapsed="false">
      <c r="A41" s="28" t="s">
        <v>481</v>
      </c>
      <c r="B41" s="60" t="n">
        <f aca="false">SUMIFS(PL!$E$45:$AB$45,Assumptions!$E$100:$AB$100,"A")</f>
        <v>6342.8096469149</v>
      </c>
      <c r="C41" s="60" t="n">
        <f aca="false">SUMIFS(Budget_FY26!$E$45:$P$45,Assumptions!$E$99:$P$99,"&lt;="&amp;Assumptions!$C$10)</f>
        <v>0</v>
      </c>
      <c r="D41" s="71" t="n">
        <f aca="false">B41-C41</f>
        <v>6342.8096469149</v>
      </c>
      <c r="E41" s="62" t="n">
        <f aca="false">IF(C41=0,0,D41/ABS(C41))</f>
        <v>0</v>
      </c>
      <c r="F41" s="60" t="n">
        <f aca="false">PL!$C$45</f>
        <v>6342.8096469149</v>
      </c>
      <c r="G41" s="60" t="n">
        <f aca="false">Budget_FY26!$C$45</f>
        <v>0</v>
      </c>
      <c r="H41" s="71" t="n">
        <f aca="false">F41-G41</f>
        <v>6342.8096469149</v>
      </c>
      <c r="I41" s="62" t="n">
        <f aca="false">IF(G41=0,0,H41/ABS(G41))</f>
        <v>0</v>
      </c>
    </row>
    <row r="42" customFormat="false" ht="15" hidden="false" customHeight="false" outlineLevel="0" collapsed="false">
      <c r="A42" s="73" t="s">
        <v>370</v>
      </c>
      <c r="B42" s="74" t="n">
        <f aca="false">SUMIFS(PL!$E$49:$AB$49,Assumptions!$E$100:$AB$100,"A")</f>
        <v>180845.858165677</v>
      </c>
      <c r="C42" s="74" t="n">
        <f aca="false">SUMIFS(Budget_FY26!$E$49:$P$49,Assumptions!$E$99:$P$99,"&lt;="&amp;Assumptions!$C$10)</f>
        <v>393442</v>
      </c>
      <c r="D42" s="70" t="n">
        <f aca="false">B42-C42</f>
        <v>-212596.141834323</v>
      </c>
      <c r="E42" s="75" t="n">
        <f aca="false">IF(C42=0,0,D42/ABS(C42))</f>
        <v>-0.540349382715426</v>
      </c>
      <c r="F42" s="74" t="n">
        <f aca="false">PL!$C$49</f>
        <v>428478.284306456</v>
      </c>
      <c r="G42" s="74" t="n">
        <f aca="false">Budget_FY26!$C$49</f>
        <v>681187</v>
      </c>
      <c r="H42" s="70" t="n">
        <f aca="false">F42-G42</f>
        <v>-252708.715693544</v>
      </c>
      <c r="I42" s="75" t="n">
        <f aca="false">IF(G42=0,0,H42/ABS(G42))</f>
        <v>-0.370982880902813</v>
      </c>
      <c r="J42" s="76"/>
    </row>
    <row r="43" customFormat="false" ht="15" hidden="false" customHeight="false" outlineLevel="0" collapsed="false">
      <c r="A43" s="22" t="s">
        <v>482</v>
      </c>
      <c r="B43" s="23"/>
      <c r="C43" s="23"/>
      <c r="D43" s="23"/>
      <c r="E43" s="23"/>
      <c r="F43" s="23"/>
      <c r="G43" s="23"/>
      <c r="H43" s="23"/>
      <c r="I43" s="23"/>
      <c r="J43" s="23"/>
    </row>
    <row r="44" customFormat="false" ht="15" hidden="false" customHeight="false" outlineLevel="0" collapsed="false">
      <c r="A44" s="28" t="s">
        <v>325</v>
      </c>
      <c r="B44" s="60" t="n">
        <f aca="false">INDEX(BS!$E$9:$AB$9,Assumptions!$C$10)</f>
        <v>367888.049343681</v>
      </c>
      <c r="C44" s="60" t="n">
        <f aca="false">INDEX(Budget_FY26!$E$51:$P$51,Assumptions!$C$10)</f>
        <v>422000</v>
      </c>
      <c r="D44" s="71" t="n">
        <f aca="false">B44-C44</f>
        <v>-54111.9506563187</v>
      </c>
      <c r="E44" s="62" t="n">
        <f aca="false">IF(C44=0,0,D44/ABS(C44))</f>
        <v>-0.128227371223504</v>
      </c>
      <c r="F44" s="60" t="n">
        <f aca="false">BS!$C$9</f>
        <v>612534.28302922</v>
      </c>
      <c r="G44" s="60" t="n">
        <f aca="false">Budget_FY26!$C$51</f>
        <v>682000</v>
      </c>
      <c r="H44" s="71" t="n">
        <f aca="false">F44-G44</f>
        <v>-69465.7169707797</v>
      </c>
      <c r="I44" s="62" t="n">
        <f aca="false">IF(G44=0,0,H44/ABS(G44))</f>
        <v>-0.101855889986481</v>
      </c>
    </row>
    <row r="45" customFormat="false" ht="15" hidden="false" customHeight="false" outlineLevel="0" collapsed="false">
      <c r="A45" s="28" t="s">
        <v>483</v>
      </c>
      <c r="B45" s="60" t="n">
        <f aca="false">INDEX(BS!$E$10:$AB$10,Assumptions!$C$10)</f>
        <v>599808.501254837</v>
      </c>
      <c r="C45" s="60" t="n">
        <f aca="false">INDEX(Budget_FY26!$E$52:$P$52,Assumptions!$C$10)</f>
        <v>601000</v>
      </c>
      <c r="D45" s="71" t="n">
        <f aca="false">B45-C45</f>
        <v>-1191.49874516286</v>
      </c>
      <c r="E45" s="62" t="n">
        <f aca="false">IF(C45=0,0,D45/ABS(C45))</f>
        <v>-0.00198252703022106</v>
      </c>
      <c r="F45" s="60" t="n">
        <f aca="false">BS!$C$10</f>
        <v>746044.201855481</v>
      </c>
      <c r="G45" s="60" t="n">
        <f aca="false">Budget_FY26!$C$52</f>
        <v>651000</v>
      </c>
      <c r="H45" s="71" t="n">
        <f aca="false">F45-G45</f>
        <v>95044.2018554807</v>
      </c>
      <c r="I45" s="62" t="n">
        <f aca="false">IF(G45=0,0,H45/ABS(G45))</f>
        <v>0.145997237873242</v>
      </c>
    </row>
    <row r="46" customFormat="false" ht="15" hidden="false" customHeight="false" outlineLevel="0" collapsed="false">
      <c r="A46" s="28" t="s">
        <v>484</v>
      </c>
      <c r="B46" s="60" t="n">
        <f aca="false">INDEX(BS!$E$11:$AB$11,Assumptions!$C$10)-INDEX(BS!$E$22:$AB$22,Assumptions!$C$10)</f>
        <v>104460.921066021</v>
      </c>
      <c r="C46" s="60" t="n">
        <f aca="false">INDEX(Budget_FY26!$E$53:$P$53,Assumptions!$C$10)</f>
        <v>37000</v>
      </c>
      <c r="D46" s="71" t="n">
        <f aca="false">B46-C46</f>
        <v>67460.9210660207</v>
      </c>
      <c r="E46" s="62" t="n">
        <f aca="false">IF(C46=0,0,D46/ABS(C46))</f>
        <v>1.82326813691948</v>
      </c>
      <c r="F46" s="60" t="n">
        <f aca="false">BS!$C$11-BS!$C$22</f>
        <v>41503.3717119154</v>
      </c>
      <c r="G46" s="60" t="n">
        <f aca="false">Budget_FY26!$C$53</f>
        <v>36000</v>
      </c>
      <c r="H46" s="71" t="n">
        <f aca="false">F46-G46</f>
        <v>5503.37171191537</v>
      </c>
      <c r="I46" s="62" t="n">
        <f aca="false">IF(G46=0,0,H46/ABS(G46))</f>
        <v>0.152871436442094</v>
      </c>
      <c r="J46" s="46" t="str">
        <f aca="false">"Unbilled work on Norbeck and Van Lienden between milestones."</f>
        <v>Unbilled work on Norbeck and Van Lienden between milestones.</v>
      </c>
    </row>
    <row r="48" customFormat="false" ht="15" hidden="false" customHeight="false" outlineLevel="0" collapsed="false">
      <c r="A48" s="22" t="s">
        <v>485</v>
      </c>
      <c r="B48" s="23"/>
      <c r="C48" s="23"/>
      <c r="D48" s="23"/>
      <c r="E48" s="23"/>
      <c r="F48" s="23"/>
      <c r="G48" s="23"/>
      <c r="H48" s="23"/>
      <c r="I48" s="23"/>
      <c r="J48" s="23"/>
    </row>
    <row r="49" customFormat="false" ht="30" hidden="false" customHeight="true" outlineLevel="0" collapsed="false">
      <c r="A49" s="42" t="s">
        <v>486</v>
      </c>
      <c r="B49" s="43" t="s">
        <v>487</v>
      </c>
      <c r="C49" s="43" t="s">
        <v>488</v>
      </c>
      <c r="D49" s="43" t="s">
        <v>489</v>
      </c>
      <c r="E49" s="43" t="s">
        <v>490</v>
      </c>
      <c r="F49" s="43" t="s">
        <v>491</v>
      </c>
      <c r="G49" s="43" t="s">
        <v>492</v>
      </c>
      <c r="H49" s="43" t="s">
        <v>493</v>
      </c>
      <c r="I49" s="43" t="s">
        <v>494</v>
      </c>
      <c r="J49" s="43" t="s">
        <v>495</v>
      </c>
    </row>
    <row r="50" customFormat="false" ht="15" hidden="false" customHeight="false" outlineLevel="0" collapsed="false">
      <c r="A50" s="0" t="s">
        <v>49</v>
      </c>
      <c r="B50" s="29" t="n">
        <f aca="false">B12</f>
        <v>1489288.23495121</v>
      </c>
      <c r="C50" s="29" t="n">
        <f aca="false">C12</f>
        <v>1510648</v>
      </c>
      <c r="D50" s="78" t="n">
        <f aca="false">B7</f>
        <v>16404.9</v>
      </c>
      <c r="E50" s="78" t="n">
        <f aca="false">C7</f>
        <v>16240</v>
      </c>
      <c r="F50" s="32" t="n">
        <f aca="false">IF(D50=0,0,B50/D50)</f>
        <v>90.7831339996715</v>
      </c>
      <c r="G50" s="32" t="n">
        <f aca="false">IF(E50=0,0,C50/E50)</f>
        <v>93.020197044335</v>
      </c>
      <c r="H50" s="29" t="n">
        <f aca="false">(D50-E50)*G50</f>
        <v>15339.030492611</v>
      </c>
      <c r="I50" s="29" t="n">
        <f aca="false">D50*(F50-G50)</f>
        <v>-36698.7955414003</v>
      </c>
      <c r="J50" s="29" t="n">
        <f aca="false">H50+I50</f>
        <v>-21359.7650487893</v>
      </c>
    </row>
    <row r="51" customFormat="false" ht="15" hidden="false" customHeight="false" outlineLevel="0" collapsed="false">
      <c r="A51" s="0" t="s">
        <v>496</v>
      </c>
      <c r="B51" s="29" t="n">
        <f aca="false">B13</f>
        <v>599705.053064388</v>
      </c>
      <c r="C51" s="29" t="n">
        <f aca="false">C13</f>
        <v>714000</v>
      </c>
      <c r="D51" s="78" t="n">
        <f aca="false">B8</f>
        <v>6548.2</v>
      </c>
      <c r="E51" s="78" t="n">
        <f aca="false">C8</f>
        <v>7761</v>
      </c>
      <c r="F51" s="32" t="n">
        <f aca="false">IF(D51=0,0,B51/D51)</f>
        <v>91.5831912684994</v>
      </c>
      <c r="G51" s="32" t="n">
        <f aca="false">IF(E51=0,0,C51/E51)</f>
        <v>91.998453807499</v>
      </c>
      <c r="H51" s="29" t="n">
        <f aca="false">(D51-E51)*G51</f>
        <v>-111575.724777735</v>
      </c>
      <c r="I51" s="29" t="n">
        <f aca="false">D51*(F51-G51)</f>
        <v>-2719.22215787764</v>
      </c>
      <c r="J51" s="29" t="n">
        <f aca="false">H51+I51</f>
        <v>-114294.946935612</v>
      </c>
    </row>
    <row r="52" customFormat="false" ht="15" hidden="false" customHeight="false" outlineLevel="0" collapsed="false">
      <c r="A52" s="0" t="s">
        <v>333</v>
      </c>
      <c r="B52" s="29" t="n">
        <f aca="false">B14</f>
        <v>284598.813236278</v>
      </c>
      <c r="C52" s="29" t="n">
        <f aca="false">C14</f>
        <v>319340</v>
      </c>
      <c r="D52" s="78" t="n">
        <f aca="false">B9</f>
        <v>3195.3</v>
      </c>
      <c r="E52" s="78" t="n">
        <f aca="false">C9</f>
        <v>3714</v>
      </c>
      <c r="F52" s="32" t="n">
        <f aca="false">IF(D52=0,0,B52/D52)</f>
        <v>89.0679476844986</v>
      </c>
      <c r="G52" s="32" t="n">
        <f aca="false">IF(E52=0,0,C52/E52)</f>
        <v>85.9827679052235</v>
      </c>
      <c r="H52" s="29" t="n">
        <f aca="false">(D52-E52)*G52</f>
        <v>-44599.2617124394</v>
      </c>
      <c r="I52" s="29" t="n">
        <f aca="false">D52*(F52-G52)</f>
        <v>9858.07494871771</v>
      </c>
      <c r="J52" s="29" t="n">
        <f aca="false">H52+I52</f>
        <v>-34741.1867637217</v>
      </c>
    </row>
    <row r="53" customFormat="false" ht="15" hidden="false" customHeight="false" outlineLevel="0" collapsed="false">
      <c r="A53" s="0" t="s">
        <v>497</v>
      </c>
      <c r="B53" s="29" t="n">
        <f aca="false">B15</f>
        <v>173122.048555775</v>
      </c>
      <c r="C53" s="29" t="n">
        <f aca="false">C15</f>
        <v>176400</v>
      </c>
      <c r="D53" s="78" t="n">
        <f aca="false">B10</f>
        <v>1960</v>
      </c>
      <c r="E53" s="78" t="n">
        <f aca="false">C10</f>
        <v>1960</v>
      </c>
      <c r="F53" s="32" t="n">
        <f aca="false">IF(D53=0,0,B53/D53)</f>
        <v>88.3275757937627</v>
      </c>
      <c r="G53" s="32" t="n">
        <f aca="false">IF(E53=0,0,C53/E53)</f>
        <v>90</v>
      </c>
      <c r="H53" s="29" t="n">
        <f aca="false">(D53-E53)*G53</f>
        <v>0</v>
      </c>
      <c r="I53" s="29" t="n">
        <f aca="false">D53*(F53-G53)</f>
        <v>-3277.95144422513</v>
      </c>
      <c r="J53" s="29" t="n">
        <f aca="false">H53+I53</f>
        <v>-3277.95144422513</v>
      </c>
    </row>
    <row r="54" customFormat="false" ht="15" hidden="false" customHeight="false" outlineLevel="0" collapsed="false">
      <c r="A54" s="0" t="s">
        <v>498</v>
      </c>
      <c r="B54" s="29" t="n">
        <f aca="false">B16+B18</f>
        <v>1470</v>
      </c>
      <c r="C54" s="29" t="n">
        <f aca="false">C16+C18</f>
        <v>1842</v>
      </c>
      <c r="H54" s="29" t="n">
        <f aca="false">B54-C54</f>
        <v>-372</v>
      </c>
      <c r="I54" s="29" t="n">
        <v>0</v>
      </c>
      <c r="J54" s="29" t="n">
        <f aca="false">H54+I54</f>
        <v>-372</v>
      </c>
    </row>
    <row r="55" customFormat="false" ht="15" hidden="false" customHeight="false" outlineLevel="0" collapsed="false">
      <c r="A55" s="79" t="s">
        <v>499</v>
      </c>
      <c r="B55" s="80" t="n">
        <f aca="false">SUM(B50:B54)</f>
        <v>2548184.14980765</v>
      </c>
      <c r="C55" s="80" t="n">
        <f aca="false">SUM(C50:C54)</f>
        <v>2722230</v>
      </c>
      <c r="D55" s="81" t="n">
        <f aca="false">SUM(D50:D54)</f>
        <v>28108.4</v>
      </c>
      <c r="E55" s="81" t="n">
        <f aca="false">SUM(E50:E54)</f>
        <v>29675</v>
      </c>
      <c r="H55" s="80" t="n">
        <f aca="false">SUM(H50:H54)</f>
        <v>-141207.955997563</v>
      </c>
      <c r="I55" s="80" t="n">
        <f aca="false">SUM(I50:I54)</f>
        <v>-32837.8941947853</v>
      </c>
      <c r="J55" s="80" t="n">
        <f aca="false">SUM(J50:J54)</f>
        <v>-174045.850192349</v>
      </c>
    </row>
    <row r="56" customFormat="false" ht="15" hidden="false" customHeight="false" outlineLevel="0" collapsed="false">
      <c r="A56" s="5" t="s">
        <v>500</v>
      </c>
      <c r="J56" s="36" t="n">
        <f aca="false">ROUND(J55-D19,0)</f>
        <v>0</v>
      </c>
    </row>
    <row r="58" customFormat="false" ht="15" hidden="false" customHeight="false" outlineLevel="0" collapsed="false">
      <c r="A58" s="25" t="s">
        <v>501</v>
      </c>
    </row>
    <row r="60" customFormat="false" ht="15" hidden="false" customHeight="false" outlineLevel="0" collapsed="false">
      <c r="A60" s="22" t="s">
        <v>502</v>
      </c>
      <c r="B60" s="23"/>
      <c r="C60" s="23"/>
      <c r="D60" s="23"/>
      <c r="E60" s="23"/>
      <c r="F60" s="23"/>
      <c r="G60" s="23"/>
      <c r="H60" s="23"/>
      <c r="I60" s="23"/>
      <c r="J60" s="23"/>
    </row>
    <row r="61" customFormat="false" ht="15" hidden="false" customHeight="false" outlineLevel="0" collapsed="false">
      <c r="A61" s="5" t="s">
        <v>503</v>
      </c>
      <c r="B61" s="29" t="n">
        <f aca="false">C39</f>
        <v>519256</v>
      </c>
    </row>
    <row r="62" customFormat="false" ht="15" hidden="false" customHeight="false" outlineLevel="0" collapsed="false">
      <c r="A62" s="82" t="s">
        <v>504</v>
      </c>
      <c r="B62" s="29" t="n">
        <f aca="false">D19</f>
        <v>-174045.850192348</v>
      </c>
    </row>
    <row r="63" customFormat="false" ht="15" hidden="false" customHeight="false" outlineLevel="0" collapsed="false">
      <c r="A63" s="82" t="s">
        <v>505</v>
      </c>
      <c r="B63" s="29" t="n">
        <f aca="false">D20</f>
        <v>25408.7579999999</v>
      </c>
    </row>
    <row r="64" customFormat="false" ht="15" hidden="false" customHeight="false" outlineLevel="0" collapsed="false">
      <c r="A64" s="82" t="s">
        <v>506</v>
      </c>
      <c r="B64" s="29" t="n">
        <f aca="false">D21</f>
        <v>-49547.87</v>
      </c>
    </row>
    <row r="65" customFormat="false" ht="15" hidden="false" customHeight="false" outlineLevel="0" collapsed="false">
      <c r="A65" s="82" t="s">
        <v>507</v>
      </c>
      <c r="B65" s="29" t="n">
        <f aca="false">D24+D25</f>
        <v>1453.90959999998</v>
      </c>
    </row>
    <row r="66" customFormat="false" ht="15" hidden="false" customHeight="false" outlineLevel="0" collapsed="false">
      <c r="A66" s="82" t="s">
        <v>508</v>
      </c>
      <c r="B66" s="29" t="n">
        <f aca="false">D26+D27+D28+D29+D30+D31+D32+D33+D34+D35+D36+D37</f>
        <v>-15418.65</v>
      </c>
    </row>
    <row r="67" customFormat="false" ht="15" hidden="false" customHeight="false" outlineLevel="0" collapsed="false">
      <c r="A67" s="5" t="s">
        <v>509</v>
      </c>
      <c r="B67" s="29" t="n">
        <f aca="false">B39</f>
        <v>307106.297407651</v>
      </c>
    </row>
    <row r="68" customFormat="false" ht="15" hidden="false" customHeight="false" outlineLevel="0" collapsed="false">
      <c r="A68" s="5" t="s">
        <v>510</v>
      </c>
      <c r="B68" s="36" t="n">
        <f aca="false">ROUND(SUM(B61:B66)-B67,0)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0"/>
    <col collapsed="false" customWidth="true" hidden="false" outlineLevel="0" max="7" min="3" style="0" width="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511</v>
      </c>
    </row>
    <row r="3" customFormat="false" ht="15" hidden="false" customHeight="false" outlineLevel="0" collapsed="false">
      <c r="A3" s="25" t="s">
        <v>512</v>
      </c>
    </row>
    <row r="5" customFormat="false" ht="15" hidden="false" customHeight="false" outlineLevel="0" collapsed="false">
      <c r="A5" s="0" t="s">
        <v>513</v>
      </c>
      <c r="B5" s="79" t="s">
        <v>514</v>
      </c>
    </row>
    <row r="6" customFormat="false" ht="15" hidden="false" customHeight="false" outlineLevel="0" collapsed="false">
      <c r="A6" s="0" t="s">
        <v>515</v>
      </c>
      <c r="B6" s="83" t="str">
        <f aca="false">Assumptions!$C$12</f>
        <v>Base</v>
      </c>
    </row>
    <row r="8" customFormat="false" ht="23.85" hidden="false" customHeight="false" outlineLevel="0" collapsed="false">
      <c r="A8" s="26" t="s">
        <v>516</v>
      </c>
      <c r="B8" s="27" t="s">
        <v>517</v>
      </c>
      <c r="C8" s="27" t="s">
        <v>518</v>
      </c>
      <c r="D8" s="27" t="s">
        <v>519</v>
      </c>
      <c r="E8" s="27" t="s">
        <v>520</v>
      </c>
      <c r="F8" s="27" t="s">
        <v>521</v>
      </c>
      <c r="G8" s="27" t="s">
        <v>522</v>
      </c>
    </row>
    <row r="9" customFormat="false" ht="15" hidden="false" customHeight="false" outlineLevel="0" collapsed="false">
      <c r="A9" s="0" t="s">
        <v>523</v>
      </c>
      <c r="B9" s="58" t="s">
        <v>524</v>
      </c>
      <c r="C9" s="84" t="n">
        <v>3937675.92120047</v>
      </c>
      <c r="D9" s="84" t="n">
        <v>3761827.1051104</v>
      </c>
      <c r="E9" s="84" t="n">
        <v>4011809.00133943</v>
      </c>
      <c r="F9" s="85" t="n">
        <f aca="false">PL!$C$16</f>
        <v>3937675.92120047</v>
      </c>
      <c r="G9" s="29" t="n">
        <f aca="false">ROUND(F9-INDEX(C9:E9,Assumptions!$C$11),0)</f>
        <v>0</v>
      </c>
    </row>
    <row r="10" customFormat="false" ht="15" hidden="false" customHeight="false" outlineLevel="0" collapsed="false">
      <c r="A10" s="0" t="s">
        <v>525</v>
      </c>
      <c r="B10" s="58" t="s">
        <v>524</v>
      </c>
      <c r="C10" s="84" t="n">
        <v>4189215.86774153</v>
      </c>
      <c r="D10" s="84" t="n">
        <v>2837022.15280255</v>
      </c>
      <c r="E10" s="84" t="n">
        <v>4807958.09532763</v>
      </c>
      <c r="F10" s="85" t="n">
        <f aca="false">PL!$D$16</f>
        <v>4189215.86774153</v>
      </c>
      <c r="G10" s="29" t="n">
        <f aca="false">ROUND(F10-INDEX(C10:E10,Assumptions!$C$11),0)</f>
        <v>0</v>
      </c>
    </row>
    <row r="11" customFormat="false" ht="15" hidden="false" customHeight="false" outlineLevel="0" collapsed="false">
      <c r="A11" s="0" t="s">
        <v>526</v>
      </c>
      <c r="B11" s="58" t="s">
        <v>527</v>
      </c>
      <c r="C11" s="86" t="n">
        <v>0.397167058760506</v>
      </c>
      <c r="D11" s="86" t="n">
        <v>0.375854812511571</v>
      </c>
      <c r="E11" s="86" t="n">
        <v>0.408431498278314</v>
      </c>
      <c r="F11" s="87" t="n">
        <f aca="false">PL!$C$23</f>
        <v>0.397167058760506</v>
      </c>
      <c r="G11" s="88" t="n">
        <f aca="false">ROUND(F11-INDEX(C11:E11,Assumptions!$C$11),4)</f>
        <v>0</v>
      </c>
    </row>
    <row r="12" customFormat="false" ht="15" hidden="false" customHeight="false" outlineLevel="0" collapsed="false">
      <c r="A12" s="0" t="s">
        <v>528</v>
      </c>
      <c r="B12" s="58" t="s">
        <v>524</v>
      </c>
      <c r="C12" s="84" t="n">
        <v>583450.501326207</v>
      </c>
      <c r="D12" s="84" t="n">
        <v>493231.280892215</v>
      </c>
      <c r="E12" s="84" t="n">
        <v>653400.947215635</v>
      </c>
      <c r="F12" s="85" t="n">
        <f aca="false">PL!$C$40</f>
        <v>583450.501326207</v>
      </c>
      <c r="G12" s="29" t="n">
        <f aca="false">ROUND(F12-INDEX(C12:E12,Assumptions!$C$11),0)</f>
        <v>0</v>
      </c>
    </row>
    <row r="13" customFormat="false" ht="15" hidden="false" customHeight="false" outlineLevel="0" collapsed="false">
      <c r="A13" s="0" t="s">
        <v>529</v>
      </c>
      <c r="B13" s="58" t="s">
        <v>527</v>
      </c>
      <c r="C13" s="86" t="n">
        <v>0.14817128504276</v>
      </c>
      <c r="D13" s="86" t="n">
        <v>0.131114819238281</v>
      </c>
      <c r="E13" s="86" t="n">
        <v>0.162869405546845</v>
      </c>
      <c r="F13" s="87" t="n">
        <f aca="false">PL!$C$41</f>
        <v>0.14817128504276</v>
      </c>
      <c r="G13" s="88" t="n">
        <f aca="false">ROUND(F13-INDEX(C13:E13,Assumptions!$C$11),4)</f>
        <v>0</v>
      </c>
    </row>
    <row r="14" customFormat="false" ht="15" hidden="false" customHeight="false" outlineLevel="0" collapsed="false">
      <c r="A14" s="0" t="s">
        <v>530</v>
      </c>
      <c r="B14" s="58" t="s">
        <v>524</v>
      </c>
      <c r="C14" s="84" t="n">
        <v>428478.284306456</v>
      </c>
      <c r="D14" s="84" t="n">
        <v>317750.320771234</v>
      </c>
      <c r="E14" s="84" t="n">
        <v>515210.67482024</v>
      </c>
      <c r="F14" s="85" t="n">
        <f aca="false">PL!$C$49</f>
        <v>428478.284306456</v>
      </c>
      <c r="G14" s="29" t="n">
        <f aca="false">ROUND(F14-INDEX(C14:E14,Assumptions!$C$11),0)</f>
        <v>0</v>
      </c>
    </row>
    <row r="15" customFormat="false" ht="15" hidden="false" customHeight="false" outlineLevel="0" collapsed="false">
      <c r="A15" s="0" t="s">
        <v>531</v>
      </c>
      <c r="B15" s="58" t="s">
        <v>527</v>
      </c>
      <c r="C15" s="86" t="n">
        <v>0.387677004485729</v>
      </c>
      <c r="D15" s="86" t="n">
        <v>0.237903360371708</v>
      </c>
      <c r="E15" s="86" t="n">
        <v>0.457292683133379</v>
      </c>
      <c r="F15" s="87" t="n">
        <f aca="false">PL!$D$23</f>
        <v>0.387677004485729</v>
      </c>
      <c r="G15" s="88" t="n">
        <f aca="false">ROUND(F15-INDEX(C15:E15,Assumptions!$C$11),4)</f>
        <v>0</v>
      </c>
    </row>
    <row r="16" customFormat="false" ht="15" hidden="false" customHeight="false" outlineLevel="0" collapsed="false">
      <c r="A16" s="0" t="s">
        <v>532</v>
      </c>
      <c r="B16" s="58" t="s">
        <v>524</v>
      </c>
      <c r="C16" s="84" t="n">
        <v>538595.24572012</v>
      </c>
      <c r="D16" s="84" t="n">
        <v>-169791.907955164</v>
      </c>
      <c r="E16" s="84" t="n">
        <v>1080997.79212722</v>
      </c>
      <c r="F16" s="85" t="n">
        <f aca="false">PL!$D$40</f>
        <v>538595.24572012</v>
      </c>
      <c r="G16" s="29" t="n">
        <f aca="false">ROUND(F16-INDEX(C16:E16,Assumptions!$C$11),0)</f>
        <v>0</v>
      </c>
    </row>
    <row r="17" customFormat="false" ht="15" hidden="false" customHeight="false" outlineLevel="0" collapsed="false">
      <c r="A17" s="0" t="s">
        <v>533</v>
      </c>
      <c r="B17" s="58" t="s">
        <v>527</v>
      </c>
      <c r="C17" s="86" t="n">
        <v>0.128567078595185</v>
      </c>
      <c r="D17" s="86" t="n">
        <v>-0.05984863663734</v>
      </c>
      <c r="E17" s="86" t="n">
        <v>0.224835111016824</v>
      </c>
      <c r="F17" s="87" t="n">
        <f aca="false">PL!$D$41</f>
        <v>0.128567078595185</v>
      </c>
      <c r="G17" s="88" t="n">
        <f aca="false">ROUND(F17-INDEX(C17:E17,Assumptions!$C$11),4)</f>
        <v>0</v>
      </c>
    </row>
    <row r="18" customFormat="false" ht="15" hidden="false" customHeight="false" outlineLevel="0" collapsed="false">
      <c r="A18" s="0" t="s">
        <v>534</v>
      </c>
      <c r="B18" s="58" t="s">
        <v>524</v>
      </c>
      <c r="C18" s="84" t="n">
        <v>377658.932121347</v>
      </c>
      <c r="D18" s="84" t="n">
        <v>-267239.57462183</v>
      </c>
      <c r="E18" s="84" t="n">
        <v>893060.071089269</v>
      </c>
      <c r="F18" s="85" t="n">
        <f aca="false">PL!$D$49</f>
        <v>377658.932121347</v>
      </c>
      <c r="G18" s="29" t="n">
        <f aca="false">ROUND(F18-INDEX(C18:E18,Assumptions!$C$11),0)</f>
        <v>0</v>
      </c>
    </row>
    <row r="19" customFormat="false" ht="15" hidden="false" customHeight="false" outlineLevel="0" collapsed="false">
      <c r="A19" s="0" t="s">
        <v>535</v>
      </c>
      <c r="B19" s="58" t="s">
        <v>524</v>
      </c>
      <c r="C19" s="84" t="n">
        <v>612534.28302922</v>
      </c>
      <c r="D19" s="84" t="n">
        <v>252820.337124787</v>
      </c>
      <c r="E19" s="84" t="n">
        <v>665425.566170997</v>
      </c>
      <c r="F19" s="85" t="n">
        <f aca="false">BS!$C$9</f>
        <v>612534.28302922</v>
      </c>
      <c r="G19" s="29" t="n">
        <f aca="false">ROUND(F19-INDEX(C19:E19,Assumptions!$C$11),0)</f>
        <v>0</v>
      </c>
    </row>
    <row r="20" customFormat="false" ht="15" hidden="false" customHeight="false" outlineLevel="0" collapsed="false">
      <c r="A20" s="0" t="s">
        <v>536</v>
      </c>
      <c r="B20" s="58" t="s">
        <v>524</v>
      </c>
      <c r="C20" s="84" t="n">
        <v>803759.860565172</v>
      </c>
      <c r="D20" s="84" t="n">
        <v>50030.8840170053</v>
      </c>
      <c r="E20" s="84" t="n">
        <v>1257727.7431068</v>
      </c>
      <c r="F20" s="85" t="n">
        <f aca="false">BS!$D$9</f>
        <v>803759.860565172</v>
      </c>
      <c r="G20" s="29" t="n">
        <f aca="false">ROUND(F20-INDEX(C20:E20,Assumptions!$C$11),0)</f>
        <v>0</v>
      </c>
    </row>
    <row r="21" customFormat="false" ht="15" hidden="false" customHeight="false" outlineLevel="0" collapsed="false">
      <c r="A21" s="0" t="s">
        <v>537</v>
      </c>
      <c r="B21" s="58" t="s">
        <v>524</v>
      </c>
      <c r="C21" s="84" t="n">
        <v>339326.23945676</v>
      </c>
      <c r="D21" s="84" t="n">
        <v>50030.8840170053</v>
      </c>
      <c r="E21" s="84" t="n">
        <v>350573.414639372</v>
      </c>
      <c r="F21" s="85" t="n">
        <f aca="false">MIN(BS!M9:AB9)</f>
        <v>339326.23945676</v>
      </c>
      <c r="G21" s="29" t="n">
        <f aca="false">ROUND(F21-INDEX(C21:E21,Assumptions!$C$11),0)</f>
        <v>0</v>
      </c>
    </row>
    <row r="22" customFormat="false" ht="15" hidden="false" customHeight="false" outlineLevel="0" collapsed="false">
      <c r="A22" s="0" t="s">
        <v>538</v>
      </c>
      <c r="B22" s="58" t="s">
        <v>539</v>
      </c>
      <c r="C22" s="89" t="n">
        <v>46295</v>
      </c>
      <c r="D22" s="89" t="n">
        <v>46752</v>
      </c>
      <c r="E22" s="89" t="n">
        <v>46295</v>
      </c>
      <c r="F22" s="90" t="n">
        <f aca="false">INDEX(Assumptions!M$98:AB$98,MATCH(F21,BS!M9:AB9,0))</f>
        <v>46295</v>
      </c>
      <c r="G22" s="29" t="n">
        <f aca="false">IF(F22=INDEX(C22:E22,Assumptions!$C$11),0,1)</f>
        <v>0</v>
      </c>
    </row>
    <row r="23" customFormat="false" ht="15" hidden="false" customHeight="false" outlineLevel="0" collapsed="false">
      <c r="A23" s="0" t="s">
        <v>540</v>
      </c>
      <c r="B23" s="58" t="s">
        <v>524</v>
      </c>
      <c r="C23" s="84" t="n">
        <v>-10673.7605432396</v>
      </c>
      <c r="D23" s="84" t="n">
        <v>-299969.115982995</v>
      </c>
      <c r="E23" s="84" t="n">
        <v>573.414639371855</v>
      </c>
      <c r="F23" s="85" t="n">
        <f aca="false">F21-Assumptions!$C$13</f>
        <v>-10673.7605432396</v>
      </c>
      <c r="G23" s="29" t="n">
        <f aca="false">ROUND(F23-INDEX(C23:E23,Assumptions!$C$11),0)</f>
        <v>0</v>
      </c>
    </row>
    <row r="24" customFormat="false" ht="15" hidden="false" customHeight="false" outlineLevel="0" collapsed="false">
      <c r="A24" s="0" t="s">
        <v>541</v>
      </c>
      <c r="B24" s="58" t="s">
        <v>527</v>
      </c>
      <c r="C24" s="86" t="n">
        <v>0.681705282283914</v>
      </c>
      <c r="D24" s="86" t="n">
        <v>0.627731233911192</v>
      </c>
      <c r="E24" s="86" t="n">
        <v>0.723338935849251</v>
      </c>
      <c r="F24" s="87" t="n">
        <f aca="false">Utilisation!$D$78</f>
        <v>0.681705282283914</v>
      </c>
      <c r="G24" s="88" t="n">
        <f aca="false">ROUND(F24-INDEX(C24:E24,Assumptions!$C$11),4)</f>
        <v>0</v>
      </c>
    </row>
    <row r="25" customFormat="false" ht="15" hidden="false" customHeight="false" outlineLevel="0" collapsed="false">
      <c r="A25" s="0" t="s">
        <v>542</v>
      </c>
      <c r="B25" s="58" t="s">
        <v>527</v>
      </c>
      <c r="C25" s="86" t="n">
        <v>0.882285502146228</v>
      </c>
      <c r="D25" s="86" t="n">
        <v>0.812739147855949</v>
      </c>
      <c r="E25" s="86" t="n">
        <v>0.922792421386041</v>
      </c>
      <c r="F25" s="87" t="n">
        <f aca="false">Utilisation!$D$81</f>
        <v>0.882285502146228</v>
      </c>
      <c r="G25" s="88" t="n">
        <f aca="false">ROUND(F25-INDEX(C25:E25,Assumptions!$C$11),4)</f>
        <v>0</v>
      </c>
    </row>
    <row r="26" customFormat="false" ht="15" hidden="false" customHeight="false" outlineLevel="0" collapsed="false">
      <c r="A26" s="0" t="s">
        <v>543</v>
      </c>
      <c r="B26" s="58" t="s">
        <v>524</v>
      </c>
      <c r="C26" s="84" t="n">
        <v>2425082.93356116</v>
      </c>
      <c r="D26" s="84" t="n">
        <v>1464956.11437707</v>
      </c>
      <c r="E26" s="84" t="n">
        <v>2704725.87439548</v>
      </c>
      <c r="F26" s="85" t="n">
        <f aca="false">FX!$D$62</f>
        <v>2425082.93356116</v>
      </c>
      <c r="G26" s="29" t="n">
        <f aca="false">ROUND(F26-INDEX(C26:E26,Assumptions!$C$11),0)</f>
        <v>0</v>
      </c>
    </row>
    <row r="27" customFormat="false" ht="15" hidden="false" customHeight="false" outlineLevel="0" collapsed="false">
      <c r="A27" s="0" t="s">
        <v>544</v>
      </c>
      <c r="B27" s="58" t="s">
        <v>527</v>
      </c>
      <c r="C27" s="86" t="n">
        <v>0.177644700940466</v>
      </c>
      <c r="D27" s="86" t="n">
        <v>0.177651062577049</v>
      </c>
      <c r="E27" s="86" t="n">
        <v>0.182098092920325</v>
      </c>
      <c r="F27" s="87" t="n">
        <f aca="false">Client_Profitability!$E$36</f>
        <v>0.177644700940466</v>
      </c>
      <c r="G27" s="88" t="n">
        <f aca="false">ROUND(F27-INDEX(C27:E27,Assumptions!$C$11),4)</f>
        <v>0</v>
      </c>
    </row>
    <row r="28" customFormat="false" ht="15" hidden="false" customHeight="false" outlineLevel="0" collapsed="false">
      <c r="A28" s="0" t="s">
        <v>545</v>
      </c>
      <c r="B28" s="58" t="s">
        <v>527</v>
      </c>
      <c r="C28" s="86" t="n">
        <v>0.277434547436579</v>
      </c>
      <c r="D28" s="86" t="n">
        <v>0.266713156810475</v>
      </c>
      <c r="E28" s="86" t="n">
        <v>0.314358291592604</v>
      </c>
      <c r="F28" s="87" t="n">
        <f aca="false">Pipeline!$D$16</f>
        <v>0.277434547436579</v>
      </c>
      <c r="G28" s="88" t="n">
        <f aca="false">ROUND(F28-INDEX(C28:E28,Assumptions!$C$11),4)</f>
        <v>0</v>
      </c>
    </row>
    <row r="29" customFormat="false" ht="15" hidden="false" customHeight="false" outlineLevel="0" collapsed="false">
      <c r="A29" s="0" t="s">
        <v>546</v>
      </c>
      <c r="B29" s="58" t="s">
        <v>524</v>
      </c>
      <c r="C29" s="84" t="n">
        <v>0</v>
      </c>
      <c r="D29" s="84" t="n">
        <v>0</v>
      </c>
      <c r="E29" s="84" t="n">
        <v>0</v>
      </c>
      <c r="F29" s="85" t="n">
        <f aca="false">PL!$D$45</f>
        <v>0</v>
      </c>
      <c r="G29" s="29" t="n">
        <f aca="false">ROUND(F29-INDEX(C29:E29,Assumptions!$C$11),0)</f>
        <v>0</v>
      </c>
    </row>
    <row r="30" customFormat="false" ht="15" hidden="false" customHeight="false" outlineLevel="0" collapsed="false">
      <c r="A30" s="0" t="s">
        <v>547</v>
      </c>
      <c r="B30" s="58" t="s">
        <v>548</v>
      </c>
      <c r="C30" s="91" t="n">
        <v>41.85</v>
      </c>
      <c r="D30" s="91" t="n">
        <v>34</v>
      </c>
      <c r="E30" s="91" t="n">
        <v>42.15</v>
      </c>
      <c r="F30" s="92" t="n">
        <f aca="false">People!$D$28</f>
        <v>41.85</v>
      </c>
      <c r="G30" s="88" t="n">
        <f aca="false">ROUND(F30-INDEX(C30:E30,Assumptions!$C$11),4)</f>
        <v>0</v>
      </c>
    </row>
    <row r="32" customFormat="false" ht="15" hidden="false" customHeight="false" outlineLevel="0" collapsed="false">
      <c r="A32" s="5" t="s">
        <v>549</v>
      </c>
      <c r="G32" s="79" t="n">
        <f aca="false">SUMPRODUCT(ABS(G9:G31))</f>
        <v>0</v>
      </c>
    </row>
    <row r="34" customFormat="false" ht="15" hidden="false" customHeight="false" outlineLevel="0" collapsed="false">
      <c r="A34" s="22" t="s">
        <v>550</v>
      </c>
      <c r="B34" s="23"/>
      <c r="C34" s="23"/>
      <c r="D34" s="23"/>
      <c r="E34" s="23"/>
      <c r="F34" s="23"/>
      <c r="G34" s="23"/>
    </row>
    <row r="35" customFormat="false" ht="15" hidden="false" customHeight="false" outlineLevel="0" collapsed="false">
      <c r="A35" s="0" t="str">
        <f aca="false">Assumptions!A114</f>
        <v>Retainer fee change at renewal</v>
      </c>
      <c r="B35" s="58" t="n">
        <f aca="false">Assumptions!B114</f>
        <v>0</v>
      </c>
      <c r="C35" s="63" t="n">
        <f aca="false">Assumptions!C114</f>
        <v>0.04</v>
      </c>
      <c r="D35" s="63" t="n">
        <f aca="false">Assumptions!D114</f>
        <v>0</v>
      </c>
      <c r="E35" s="63" t="n">
        <f aca="false">Assumptions!E114</f>
        <v>0.06</v>
      </c>
      <c r="F35" s="87" t="n">
        <f aca="false">Assumptions!F114</f>
        <v>0.04</v>
      </c>
    </row>
    <row r="36" customFormat="false" ht="15" hidden="false" customHeight="false" outlineLevel="0" collapsed="false">
      <c r="A36" s="0" t="str">
        <f aca="false">Assumptions!A115</f>
        <v>Retainer overservicing vs the YTD level of each client</v>
      </c>
      <c r="B36" s="58" t="str">
        <f aca="false">Assumptions!B115</f>
        <v>x</v>
      </c>
      <c r="C36" s="93" t="n">
        <f aca="false">Assumptions!C115</f>
        <v>0.7</v>
      </c>
      <c r="D36" s="93" t="n">
        <f aca="false">Assumptions!D115</f>
        <v>1</v>
      </c>
      <c r="E36" s="93" t="n">
        <f aca="false">Assumptions!E115</f>
        <v>0.5</v>
      </c>
      <c r="F36" s="94" t="n">
        <f aca="false">Assumptions!F115</f>
        <v>0.7</v>
      </c>
    </row>
    <row r="37" customFormat="false" ht="15" hidden="false" customHeight="false" outlineLevel="0" collapsed="false">
      <c r="A37" s="0" t="str">
        <f aca="false">Assumptions!A116</f>
        <v>Overservicing on retainers with no history yet</v>
      </c>
      <c r="B37" s="58" t="n">
        <f aca="false">Assumptions!B116</f>
        <v>0</v>
      </c>
      <c r="C37" s="63" t="n">
        <f aca="false">Assumptions!C116</f>
        <v>0.1</v>
      </c>
      <c r="D37" s="63" t="n">
        <f aca="false">Assumptions!D116</f>
        <v>0.2</v>
      </c>
      <c r="E37" s="63" t="n">
        <f aca="false">Assumptions!E116</f>
        <v>0.08</v>
      </c>
      <c r="F37" s="87" t="n">
        <f aca="false">Assumptions!F116</f>
        <v>0.1</v>
      </c>
    </row>
    <row r="38" customFormat="false" ht="15" hidden="false" customHeight="false" outlineLevel="0" collapsed="false">
      <c r="A38" s="0" t="str">
        <f aca="false">Assumptions!A117</f>
        <v>Start delay: contracted and pipeline projects</v>
      </c>
      <c r="B38" s="58" t="str">
        <f aca="false">Assumptions!B117</f>
        <v>months</v>
      </c>
      <c r="C38" s="95" t="n">
        <f aca="false">Assumptions!C117</f>
        <v>0</v>
      </c>
      <c r="D38" s="95" t="n">
        <f aca="false">Assumptions!D117</f>
        <v>2</v>
      </c>
      <c r="E38" s="95" t="n">
        <f aca="false">Assumptions!E117</f>
        <v>0</v>
      </c>
      <c r="F38" s="96" t="n">
        <f aca="false">Assumptions!F117</f>
        <v>0</v>
      </c>
    </row>
    <row r="39" customFormat="false" ht="15" hidden="false" customHeight="false" outlineLevel="0" collapsed="false">
      <c r="A39" s="0" t="str">
        <f aca="false">Assumptions!A118</f>
        <v>Overrun on remaining project hours</v>
      </c>
      <c r="B39" s="58" t="n">
        <f aca="false">Assumptions!B118</f>
        <v>0</v>
      </c>
      <c r="C39" s="63" t="n">
        <f aca="false">Assumptions!C118</f>
        <v>0</v>
      </c>
      <c r="D39" s="63" t="n">
        <f aca="false">Assumptions!D118</f>
        <v>0.15</v>
      </c>
      <c r="E39" s="63" t="n">
        <f aca="false">Assumptions!E118</f>
        <v>-0.05</v>
      </c>
      <c r="F39" s="87" t="n">
        <f aca="false">Assumptions!F118</f>
        <v>0</v>
      </c>
    </row>
    <row r="40" customFormat="false" ht="15" hidden="false" customHeight="false" outlineLevel="0" collapsed="false">
      <c r="A40" s="0" t="str">
        <f aca="false">Assumptions!A119</f>
        <v>Time and materials demand factor</v>
      </c>
      <c r="B40" s="58" t="str">
        <f aca="false">Assumptions!B119</f>
        <v>x</v>
      </c>
      <c r="C40" s="93" t="n">
        <f aca="false">Assumptions!C119</f>
        <v>1</v>
      </c>
      <c r="D40" s="93" t="n">
        <f aca="false">Assumptions!D119</f>
        <v>0.9</v>
      </c>
      <c r="E40" s="93" t="n">
        <f aca="false">Assumptions!E119</f>
        <v>1.1</v>
      </c>
      <c r="F40" s="94" t="n">
        <f aca="false">Assumptions!F119</f>
        <v>1</v>
      </c>
    </row>
    <row r="41" customFormat="false" ht="15" hidden="false" customHeight="false" outlineLevel="0" collapsed="false">
      <c r="A41" s="0" t="str">
        <f aca="false">Assumptions!A120</f>
        <v>Time and materials write-off: change vs YTD</v>
      </c>
      <c r="B41" s="58" t="n">
        <f aca="false">Assumptions!B120</f>
        <v>0</v>
      </c>
      <c r="C41" s="63" t="n">
        <f aca="false">Assumptions!C120</f>
        <v>0</v>
      </c>
      <c r="D41" s="63" t="n">
        <f aca="false">Assumptions!D120</f>
        <v>0.04</v>
      </c>
      <c r="E41" s="63" t="n">
        <f aca="false">Assumptions!E120</f>
        <v>-0.02</v>
      </c>
      <c r="F41" s="87" t="n">
        <f aca="false">Assumptions!F120</f>
        <v>0</v>
      </c>
    </row>
    <row r="42" customFormat="false" ht="15" hidden="false" customHeight="false" outlineLevel="0" collapsed="false">
      <c r="A42" s="0" t="str">
        <f aca="false">Assumptions!A121</f>
        <v>Client media spend factor</v>
      </c>
      <c r="B42" s="58" t="str">
        <f aca="false">Assumptions!B121</f>
        <v>x</v>
      </c>
      <c r="C42" s="93" t="n">
        <f aca="false">Assumptions!C121</f>
        <v>1</v>
      </c>
      <c r="D42" s="93" t="n">
        <f aca="false">Assumptions!D121</f>
        <v>0.9</v>
      </c>
      <c r="E42" s="93" t="n">
        <f aca="false">Assumptions!E121</f>
        <v>1.1</v>
      </c>
      <c r="F42" s="94" t="n">
        <f aca="false">Assumptions!F121</f>
        <v>1</v>
      </c>
    </row>
    <row r="43" customFormat="false" ht="15" hidden="false" customHeight="false" outlineLevel="0" collapsed="false">
      <c r="A43" s="0" t="str">
        <f aca="false">Assumptions!A122</f>
        <v>Rate card and hourly rates change, FY2027</v>
      </c>
      <c r="B43" s="58" t="n">
        <f aca="false">Assumptions!B122</f>
        <v>0</v>
      </c>
      <c r="C43" s="63" t="n">
        <f aca="false">Assumptions!C122</f>
        <v>0.04</v>
      </c>
      <c r="D43" s="63" t="n">
        <f aca="false">Assumptions!D122</f>
        <v>0</v>
      </c>
      <c r="E43" s="63" t="n">
        <f aca="false">Assumptions!E122</f>
        <v>0.06</v>
      </c>
      <c r="F43" s="87" t="n">
        <f aca="false">Assumptions!F122</f>
        <v>0.04</v>
      </c>
    </row>
    <row r="44" customFormat="false" ht="15" hidden="false" customHeight="false" outlineLevel="0" collapsed="false">
      <c r="A44" s="0" t="str">
        <f aca="false">Assumptions!A123</f>
        <v>GBP and USD vs EUR from the last actual month-end (+ = weaker pound and dollar)</v>
      </c>
      <c r="B44" s="58" t="n">
        <f aca="false">Assumptions!B123</f>
        <v>0</v>
      </c>
      <c r="C44" s="63" t="n">
        <f aca="false">Assumptions!C123</f>
        <v>0</v>
      </c>
      <c r="D44" s="63" t="n">
        <f aca="false">Assumptions!D123</f>
        <v>0.04</v>
      </c>
      <c r="E44" s="63" t="n">
        <f aca="false">Assumptions!E123</f>
        <v>-0.03</v>
      </c>
      <c r="F44" s="87" t="n">
        <f aca="false">Assumptions!F123</f>
        <v>0</v>
      </c>
    </row>
    <row r="45" customFormat="false" ht="15" hidden="false" customHeight="false" outlineLevel="0" collapsed="false">
      <c r="A45" s="0" t="str">
        <f aca="false">Assumptions!A124</f>
        <v>Clients: extra days to collect</v>
      </c>
      <c r="B45" s="58" t="str">
        <f aca="false">Assumptions!B124</f>
        <v>days</v>
      </c>
      <c r="C45" s="95" t="n">
        <f aca="false">Assumptions!C124</f>
        <v>0</v>
      </c>
      <c r="D45" s="95" t="n">
        <f aca="false">Assumptions!D124</f>
        <v>15</v>
      </c>
      <c r="E45" s="95" t="n">
        <f aca="false">Assumptions!E124</f>
        <v>0</v>
      </c>
      <c r="F45" s="96" t="n">
        <f aca="false">Assumptions!F124</f>
        <v>0</v>
      </c>
    </row>
    <row r="46" customFormat="false" ht="15" hidden="false" customHeight="false" outlineLevel="0" collapsed="false">
      <c r="A46" s="0" t="str">
        <f aca="false">Assumptions!A125</f>
        <v>Delivery hiring plan (1 = as planned, 0 = freeze)</v>
      </c>
      <c r="B46" s="58" t="str">
        <f aca="false">Assumptions!B125</f>
        <v>flag</v>
      </c>
      <c r="C46" s="95" t="n">
        <f aca="false">Assumptions!C125</f>
        <v>1</v>
      </c>
      <c r="D46" s="95" t="n">
        <f aca="false">Assumptions!D125</f>
        <v>0</v>
      </c>
      <c r="E46" s="95" t="n">
        <f aca="false">Assumptions!E125</f>
        <v>1</v>
      </c>
      <c r="F46" s="96" t="n">
        <f aca="false">Assumptions!F125</f>
        <v>1</v>
      </c>
    </row>
    <row r="47" customFormat="false" ht="15" hidden="false" customHeight="false" outlineLevel="0" collapsed="false">
      <c r="A47" s="0" t="str">
        <f aca="false">Assumptions!A126</f>
        <v>Head of delivery hire (1 = as planned, 0 = freeze)</v>
      </c>
      <c r="B47" s="58" t="str">
        <f aca="false">Assumptions!B126</f>
        <v>flag</v>
      </c>
      <c r="C47" s="95" t="n">
        <f aca="false">Assumptions!C126</f>
        <v>1</v>
      </c>
      <c r="D47" s="95" t="n">
        <f aca="false">Assumptions!D126</f>
        <v>0</v>
      </c>
      <c r="E47" s="95" t="n">
        <f aca="false">Assumptions!E126</f>
        <v>1</v>
      </c>
      <c r="F47" s="96" t="n">
        <f aca="false">Assumptions!F126</f>
        <v>1</v>
      </c>
    </row>
    <row r="48" customFormat="false" ht="15" hidden="false" customHeight="false" outlineLevel="0" collapsed="false">
      <c r="A48" s="0" t="str">
        <f aca="false">Assumptions!A127</f>
        <v>Bonus accrual rate, forecast months</v>
      </c>
      <c r="B48" s="58" t="n">
        <f aca="false">Assumptions!B127</f>
        <v>0</v>
      </c>
      <c r="C48" s="63" t="n">
        <f aca="false">Assumptions!C127</f>
        <v>0.05</v>
      </c>
      <c r="D48" s="63" t="n">
        <f aca="false">Assumptions!D127</f>
        <v>0</v>
      </c>
      <c r="E48" s="63" t="n">
        <f aca="false">Assumptions!E127</f>
        <v>0.06</v>
      </c>
      <c r="F48" s="87" t="n">
        <f aca="false">Assumptions!F127</f>
        <v>0.05</v>
      </c>
    </row>
    <row r="49" customFormat="false" ht="15" hidden="false" customHeight="false" outlineLevel="0" collapsed="false">
      <c r="A49" s="0" t="str">
        <f aca="false">Assumptions!A128</f>
        <v>Delivery capacity cut after losing the top client (FTE, spread across roles)</v>
      </c>
      <c r="B49" s="58" t="str">
        <f aca="false">Assumptions!B128</f>
        <v>FTE</v>
      </c>
      <c r="C49" s="67" t="n">
        <f aca="false">Assumptions!C128</f>
        <v>0</v>
      </c>
      <c r="D49" s="67" t="n">
        <f aca="false">Assumptions!D128</f>
        <v>4</v>
      </c>
      <c r="E49" s="67" t="n">
        <f aca="false">Assumptions!E128</f>
        <v>0</v>
      </c>
      <c r="F49" s="92" t="n">
        <f aca="false">Assumptions!F128</f>
        <v>0</v>
      </c>
    </row>
    <row r="50" customFormat="false" ht="15" hidden="false" customHeight="false" outlineLevel="0" collapsed="false">
      <c r="A50" s="0" t="str">
        <f aca="false">Assumptions!A129</f>
        <v>Capacity cut: first month without the leavers</v>
      </c>
      <c r="B50" s="58" t="str">
        <f aca="false">Assumptions!B129</f>
        <v>month</v>
      </c>
      <c r="C50" s="97" t="n">
        <f aca="false">Assumptions!C129</f>
        <v>46477</v>
      </c>
      <c r="D50" s="97" t="n">
        <f aca="false">Assumptions!D129</f>
        <v>46477</v>
      </c>
      <c r="E50" s="97" t="n">
        <f aca="false">Assumptions!E129</f>
        <v>46477</v>
      </c>
      <c r="F50" s="90" t="n">
        <f aca="false">Assumptions!F129</f>
        <v>46477</v>
      </c>
    </row>
    <row r="51" customFormat="false" ht="15" hidden="false" customHeight="false" outlineLevel="0" collapsed="false">
      <c r="A51" s="0" t="str">
        <f aca="false">Assumptions!A130</f>
        <v>Discretionary overheads factor (travel, new business, training)</v>
      </c>
      <c r="B51" s="58" t="str">
        <f aca="false">Assumptions!B130</f>
        <v>x</v>
      </c>
      <c r="C51" s="93" t="n">
        <f aca="false">Assumptions!C130</f>
        <v>1</v>
      </c>
      <c r="D51" s="93" t="n">
        <f aca="false">Assumptions!D130</f>
        <v>0.85</v>
      </c>
      <c r="E51" s="93" t="n">
        <f aca="false">Assumptions!E130</f>
        <v>1</v>
      </c>
      <c r="F51" s="94" t="n">
        <f aca="false">Assumptions!F130</f>
        <v>1</v>
      </c>
    </row>
    <row r="52" customFormat="false" ht="15" hidden="false" customHeight="false" outlineLevel="0" collapsed="false">
      <c r="A52" s="0" t="str">
        <f aca="false">Assumptions!A131</f>
        <v>Dividend on FY2026 profit (share of net profit, paid Jun-27)</v>
      </c>
      <c r="B52" s="58" t="n">
        <f aca="false">Assumptions!B131</f>
        <v>0</v>
      </c>
      <c r="C52" s="63" t="n">
        <f aca="false">Assumptions!C131</f>
        <v>0.5</v>
      </c>
      <c r="D52" s="63" t="n">
        <f aca="false">Assumptions!D131</f>
        <v>0</v>
      </c>
      <c r="E52" s="63" t="n">
        <f aca="false">Assumptions!E131</f>
        <v>0.6</v>
      </c>
      <c r="F52" s="87" t="n">
        <f aca="false">Assumptions!F131</f>
        <v>0.5</v>
      </c>
    </row>
    <row r="53" customFormat="false" ht="15" hidden="false" customHeight="false" outlineLevel="0" collapsed="false">
      <c r="A53" s="0" t="str">
        <f aca="false">Assumptions!A132</f>
        <v>Disputed CR-03: share recovered</v>
      </c>
      <c r="B53" s="58" t="n">
        <f aca="false">Assumptions!B132</f>
        <v>0</v>
      </c>
      <c r="C53" s="63" t="n">
        <f aca="false">Assumptions!C132</f>
        <v>0.5</v>
      </c>
      <c r="D53" s="63" t="n">
        <f aca="false">Assumptions!D132</f>
        <v>0</v>
      </c>
      <c r="E53" s="63" t="n">
        <f aca="false">Assumptions!E132</f>
        <v>0.8</v>
      </c>
      <c r="F53" s="87" t="n">
        <f aca="false">Assumptions!F132</f>
        <v>0.5</v>
      </c>
    </row>
    <row r="54" customFormat="false" ht="15" hidden="false" customHeight="false" outlineLevel="0" collapsed="false">
      <c r="A54" s="0" t="str">
        <f aca="false">Assumptions!A133</f>
        <v>Disputed CR-03: month of settlement</v>
      </c>
      <c r="B54" s="58" t="str">
        <f aca="false">Assumptions!B133</f>
        <v>month</v>
      </c>
      <c r="C54" s="97" t="n">
        <f aca="false">Assumptions!C133</f>
        <v>46356</v>
      </c>
      <c r="D54" s="97" t="n">
        <f aca="false">Assumptions!D133</f>
        <v>46446</v>
      </c>
      <c r="E54" s="97" t="n">
        <f aca="false">Assumptions!E133</f>
        <v>46326</v>
      </c>
      <c r="F54" s="90" t="n">
        <f aca="false">Assumptions!F133</f>
        <v>46356</v>
      </c>
    </row>
    <row r="56" customFormat="false" ht="15" hidden="false" customHeight="false" outlineLevel="0" collapsed="false">
      <c r="A56" s="25" t="s">
        <v>551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8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1" outlineLevelCol="0"/>
  <cols>
    <col collapsed="false" customWidth="true" hidden="false" outlineLevel="0" max="1" min="1" style="0" width="66"/>
    <col collapsed="false" customWidth="true" hidden="false" outlineLevel="0" max="2" min="2" style="0" width="18"/>
    <col collapsed="false" customWidth="true" hidden="false" outlineLevel="0" max="7" min="3" style="0" width="13"/>
    <col collapsed="false" customWidth="true" hidden="false" outlineLevel="0" max="23" min="8" style="0" width="12"/>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552</v>
      </c>
    </row>
    <row r="3" customFormat="false" ht="15" hidden="false" customHeight="false" outlineLevel="0" collapsed="false">
      <c r="A3" s="25" t="s">
        <v>553</v>
      </c>
    </row>
    <row r="5" customFormat="false" ht="54" hidden="false" customHeight="true" outlineLevel="0" collapsed="false">
      <c r="A5" s="26" t="s">
        <v>289</v>
      </c>
      <c r="B5" s="27" t="s">
        <v>554</v>
      </c>
      <c r="C5" s="27" t="s">
        <v>555</v>
      </c>
      <c r="D5" s="27" t="s">
        <v>556</v>
      </c>
      <c r="E5" s="27" t="s">
        <v>557</v>
      </c>
      <c r="F5" s="27" t="s">
        <v>558</v>
      </c>
      <c r="G5" s="27" t="s">
        <v>559</v>
      </c>
      <c r="H5" s="27" t="s">
        <v>560</v>
      </c>
      <c r="I5" s="27" t="s">
        <v>561</v>
      </c>
      <c r="J5" s="27" t="s">
        <v>562</v>
      </c>
      <c r="K5" s="27" t="s">
        <v>563</v>
      </c>
      <c r="L5" s="27" t="s">
        <v>564</v>
      </c>
      <c r="M5" s="27" t="s">
        <v>565</v>
      </c>
      <c r="N5" s="27" t="s">
        <v>566</v>
      </c>
      <c r="O5" s="27" t="s">
        <v>567</v>
      </c>
      <c r="P5" s="27" t="s">
        <v>568</v>
      </c>
      <c r="Q5" s="27" t="s">
        <v>569</v>
      </c>
      <c r="R5" s="27" t="s">
        <v>570</v>
      </c>
      <c r="S5" s="27" t="s">
        <v>571</v>
      </c>
      <c r="T5" s="27" t="s">
        <v>572</v>
      </c>
      <c r="U5" s="27" t="s">
        <v>573</v>
      </c>
      <c r="V5" s="27" t="s">
        <v>574</v>
      </c>
      <c r="W5" s="27" t="s">
        <v>575</v>
      </c>
    </row>
    <row r="6" customFormat="false" ht="15" hidden="false" customHeight="false" outlineLevel="0" collapsed="false">
      <c r="A6" s="0" t="s">
        <v>576</v>
      </c>
      <c r="H6" s="98" t="n">
        <v>46283</v>
      </c>
      <c r="I6" s="99" t="n">
        <f aca="false">H6+7</f>
        <v>46290</v>
      </c>
      <c r="J6" s="99" t="n">
        <f aca="false">I6+7</f>
        <v>46297</v>
      </c>
      <c r="K6" s="99" t="n">
        <f aca="false">J6+7</f>
        <v>46304</v>
      </c>
      <c r="L6" s="99" t="n">
        <f aca="false">K6+7</f>
        <v>46311</v>
      </c>
      <c r="M6" s="99" t="n">
        <f aca="false">L6+7</f>
        <v>46318</v>
      </c>
      <c r="N6" s="99" t="n">
        <f aca="false">M6+7</f>
        <v>46325</v>
      </c>
      <c r="O6" s="99" t="n">
        <f aca="false">N6+7</f>
        <v>46332</v>
      </c>
      <c r="P6" s="99" t="n">
        <f aca="false">O6+7</f>
        <v>46339</v>
      </c>
      <c r="Q6" s="99" t="n">
        <f aca="false">P6+7</f>
        <v>46346</v>
      </c>
      <c r="R6" s="99" t="n">
        <f aca="false">Q6+7</f>
        <v>46353</v>
      </c>
      <c r="S6" s="99" t="n">
        <f aca="false">R6+7</f>
        <v>46360</v>
      </c>
      <c r="T6" s="99" t="n">
        <f aca="false">S6+7</f>
        <v>46367</v>
      </c>
    </row>
    <row r="7" customFormat="false" ht="15" hidden="false" customHeight="false" outlineLevel="0" collapsed="false">
      <c r="A7" s="0" t="s">
        <v>577</v>
      </c>
      <c r="B7" s="58" t="s">
        <v>578</v>
      </c>
      <c r="C7" s="100" t="n">
        <v>46276</v>
      </c>
      <c r="H7" s="100" t="n">
        <f aca="false">H6-6</f>
        <v>46277</v>
      </c>
      <c r="I7" s="100" t="n">
        <f aca="false">I6-6</f>
        <v>46284</v>
      </c>
      <c r="J7" s="100" t="n">
        <f aca="false">J6-6</f>
        <v>46291</v>
      </c>
      <c r="K7" s="100" t="n">
        <f aca="false">K6-6</f>
        <v>46298</v>
      </c>
      <c r="L7" s="100" t="n">
        <f aca="false">L6-6</f>
        <v>46305</v>
      </c>
      <c r="M7" s="100" t="n">
        <f aca="false">M6-6</f>
        <v>46312</v>
      </c>
      <c r="N7" s="100" t="n">
        <f aca="false">N6-6</f>
        <v>46319</v>
      </c>
      <c r="O7" s="100" t="n">
        <f aca="false">O6-6</f>
        <v>46326</v>
      </c>
      <c r="P7" s="100" t="n">
        <f aca="false">P6-6</f>
        <v>46333</v>
      </c>
      <c r="Q7" s="100" t="n">
        <f aca="false">Q6-6</f>
        <v>46340</v>
      </c>
      <c r="R7" s="100" t="n">
        <f aca="false">R6-6</f>
        <v>46347</v>
      </c>
      <c r="S7" s="100" t="n">
        <f aca="false">S6-6</f>
        <v>46354</v>
      </c>
      <c r="T7" s="100" t="n">
        <f aca="false">T6-6</f>
        <v>46361</v>
      </c>
    </row>
    <row r="8" customFormat="false" ht="15" hidden="false" customHeight="false" outlineLevel="0" collapsed="false">
      <c r="A8" s="0" t="s">
        <v>579</v>
      </c>
      <c r="H8" s="101" t="n">
        <f aca="false">EOMONTH(H6,0)</f>
        <v>46295</v>
      </c>
      <c r="I8" s="101" t="n">
        <f aca="false">EOMONTH(I6,0)</f>
        <v>46295</v>
      </c>
      <c r="J8" s="101" t="n">
        <f aca="false">EOMONTH(J6,0)</f>
        <v>46326</v>
      </c>
      <c r="K8" s="101" t="n">
        <f aca="false">EOMONTH(K6,0)</f>
        <v>46326</v>
      </c>
      <c r="L8" s="101" t="n">
        <f aca="false">EOMONTH(L6,0)</f>
        <v>46326</v>
      </c>
      <c r="M8" s="101" t="n">
        <f aca="false">EOMONTH(M6,0)</f>
        <v>46326</v>
      </c>
      <c r="N8" s="101" t="n">
        <f aca="false">EOMONTH(N6,0)</f>
        <v>46326</v>
      </c>
      <c r="O8" s="101" t="n">
        <f aca="false">EOMONTH(O6,0)</f>
        <v>46356</v>
      </c>
      <c r="P8" s="101" t="n">
        <f aca="false">EOMONTH(P6,0)</f>
        <v>46356</v>
      </c>
      <c r="Q8" s="101" t="n">
        <f aca="false">EOMONTH(Q6,0)</f>
        <v>46356</v>
      </c>
      <c r="R8" s="101" t="n">
        <f aca="false">EOMONTH(R6,0)</f>
        <v>46356</v>
      </c>
      <c r="S8" s="101" t="n">
        <f aca="false">EOMONTH(S6,0)</f>
        <v>46387</v>
      </c>
      <c r="T8" s="101" t="n">
        <f aca="false">EOMONTH(T6,0)</f>
        <v>46387</v>
      </c>
    </row>
    <row r="10" customFormat="false" ht="15" hidden="false" customHeight="false" outlineLevel="0" collapsed="false">
      <c r="A10" s="22" t="s">
        <v>580</v>
      </c>
      <c r="B10" s="23"/>
      <c r="C10" s="23"/>
      <c r="D10" s="23"/>
      <c r="E10" s="23"/>
      <c r="F10" s="23"/>
      <c r="G10" s="23"/>
      <c r="H10" s="23"/>
      <c r="I10" s="23"/>
      <c r="J10" s="23"/>
      <c r="K10" s="23"/>
      <c r="L10" s="23"/>
      <c r="M10" s="23"/>
      <c r="N10" s="23"/>
      <c r="O10" s="23"/>
      <c r="P10" s="23"/>
      <c r="Q10" s="23"/>
      <c r="R10" s="23"/>
      <c r="S10" s="23"/>
      <c r="T10" s="23"/>
      <c r="U10" s="23"/>
      <c r="V10" s="23"/>
      <c r="W10" s="23"/>
    </row>
    <row r="11" customFormat="false" ht="15" hidden="false" customHeight="false" outlineLevel="1" collapsed="false">
      <c r="A11" s="14" t="s">
        <v>581</v>
      </c>
      <c r="H11" s="102" t="n">
        <f aca="false">MAX(0,MIN(H$6,Assumptions!M$98)-MAX(H$7,DATE(2026,9,1),$C$7+1)+1)/(Assumptions!M$98-$C$7)</f>
        <v>0.368421052631579</v>
      </c>
      <c r="I11" s="102" t="n">
        <f aca="false">MAX(0,MIN(I$6,Assumptions!M$98)-MAX(I$7,DATE(2026,9,1),$C$7+1)+1)/(Assumptions!M$98-$C$7)</f>
        <v>0.368421052631579</v>
      </c>
      <c r="J11" s="102" t="n">
        <f aca="false">MAX(0,MIN(J$6,Assumptions!M$98)-MAX(J$7,DATE(2026,9,1),$C$7+1)+1)/(Assumptions!M$98-$C$7)</f>
        <v>0.263157894736842</v>
      </c>
      <c r="K11" s="102" t="n">
        <f aca="false">MAX(0,MIN(K$6,Assumptions!M$98)-MAX(K$7,DATE(2026,9,1),$C$7+1)+1)/(Assumptions!M$98-$C$7)</f>
        <v>0</v>
      </c>
      <c r="L11" s="102" t="n">
        <f aca="false">MAX(0,MIN(L$6,Assumptions!M$98)-MAX(L$7,DATE(2026,9,1),$C$7+1)+1)/(Assumptions!M$98-$C$7)</f>
        <v>0</v>
      </c>
      <c r="M11" s="102" t="n">
        <f aca="false">MAX(0,MIN(M$6,Assumptions!M$98)-MAX(M$7,DATE(2026,9,1),$C$7+1)+1)/(Assumptions!M$98-$C$7)</f>
        <v>0</v>
      </c>
      <c r="N11" s="102" t="n">
        <f aca="false">MAX(0,MIN(N$6,Assumptions!M$98)-MAX(N$7,DATE(2026,9,1),$C$7+1)+1)/(Assumptions!M$98-$C$7)</f>
        <v>0</v>
      </c>
      <c r="O11" s="102" t="n">
        <f aca="false">MAX(0,MIN(O$6,Assumptions!M$98)-MAX(O$7,DATE(2026,9,1),$C$7+1)+1)/(Assumptions!M$98-$C$7)</f>
        <v>0</v>
      </c>
      <c r="P11" s="102" t="n">
        <f aca="false">MAX(0,MIN(P$6,Assumptions!M$98)-MAX(P$7,DATE(2026,9,1),$C$7+1)+1)/(Assumptions!M$98-$C$7)</f>
        <v>0</v>
      </c>
      <c r="Q11" s="102" t="n">
        <f aca="false">MAX(0,MIN(Q$6,Assumptions!M$98)-MAX(Q$7,DATE(2026,9,1),$C$7+1)+1)/(Assumptions!M$98-$C$7)</f>
        <v>0</v>
      </c>
      <c r="R11" s="102" t="n">
        <f aca="false">MAX(0,MIN(R$6,Assumptions!M$98)-MAX(R$7,DATE(2026,9,1),$C$7+1)+1)/(Assumptions!M$98-$C$7)</f>
        <v>0</v>
      </c>
      <c r="S11" s="102" t="n">
        <f aca="false">MAX(0,MIN(S$6,Assumptions!M$98)-MAX(S$7,DATE(2026,9,1),$C$7+1)+1)/(Assumptions!M$98-$C$7)</f>
        <v>0</v>
      </c>
      <c r="T11" s="102" t="n">
        <f aca="false">MAX(0,MIN(T$6,Assumptions!M$98)-MAX(T$7,DATE(2026,9,1),$C$7+1)+1)/(Assumptions!M$98-$C$7)</f>
        <v>0</v>
      </c>
      <c r="U11" s="102" t="n">
        <f aca="false">SUM(H11:T11)</f>
        <v>1</v>
      </c>
    </row>
    <row r="12" customFormat="false" ht="15" hidden="false" customHeight="false" outlineLevel="1" collapsed="false">
      <c r="A12" s="14" t="s">
        <v>582</v>
      </c>
      <c r="H12" s="102" t="n">
        <f aca="false">MAX(0,MIN(H$6,Assumptions!N$98)-MAX(H$7,DATE(2026,10,1),$C$7+1)+1)/DAY(Assumptions!N$98)</f>
        <v>0</v>
      </c>
      <c r="I12" s="102" t="n">
        <f aca="false">MAX(0,MIN(I$6,Assumptions!N$98)-MAX(I$7,DATE(2026,10,1),$C$7+1)+1)/DAY(Assumptions!N$98)</f>
        <v>0</v>
      </c>
      <c r="J12" s="102" t="n">
        <f aca="false">MAX(0,MIN(J$6,Assumptions!N$98)-MAX(J$7,DATE(2026,10,1),$C$7+1)+1)/DAY(Assumptions!N$98)</f>
        <v>0.0645161290322581</v>
      </c>
      <c r="K12" s="102" t="n">
        <f aca="false">MAX(0,MIN(K$6,Assumptions!N$98)-MAX(K$7,DATE(2026,10,1),$C$7+1)+1)/DAY(Assumptions!N$98)</f>
        <v>0.225806451612903</v>
      </c>
      <c r="L12" s="102" t="n">
        <f aca="false">MAX(0,MIN(L$6,Assumptions!N$98)-MAX(L$7,DATE(2026,10,1),$C$7+1)+1)/DAY(Assumptions!N$98)</f>
        <v>0.225806451612903</v>
      </c>
      <c r="M12" s="102" t="n">
        <f aca="false">MAX(0,MIN(M$6,Assumptions!N$98)-MAX(M$7,DATE(2026,10,1),$C$7+1)+1)/DAY(Assumptions!N$98)</f>
        <v>0.225806451612903</v>
      </c>
      <c r="N12" s="102" t="n">
        <f aca="false">MAX(0,MIN(N$6,Assumptions!N$98)-MAX(N$7,DATE(2026,10,1),$C$7+1)+1)/DAY(Assumptions!N$98)</f>
        <v>0.225806451612903</v>
      </c>
      <c r="O12" s="102" t="n">
        <f aca="false">MAX(0,MIN(O$6,Assumptions!N$98)-MAX(O$7,DATE(2026,10,1),$C$7+1)+1)/DAY(Assumptions!N$98)</f>
        <v>0.032258064516129</v>
      </c>
      <c r="P12" s="102" t="n">
        <f aca="false">MAX(0,MIN(P$6,Assumptions!N$98)-MAX(P$7,DATE(2026,10,1),$C$7+1)+1)/DAY(Assumptions!N$98)</f>
        <v>0</v>
      </c>
      <c r="Q12" s="102" t="n">
        <f aca="false">MAX(0,MIN(Q$6,Assumptions!N$98)-MAX(Q$7,DATE(2026,10,1),$C$7+1)+1)/DAY(Assumptions!N$98)</f>
        <v>0</v>
      </c>
      <c r="R12" s="102" t="n">
        <f aca="false">MAX(0,MIN(R$6,Assumptions!N$98)-MAX(R$7,DATE(2026,10,1),$C$7+1)+1)/DAY(Assumptions!N$98)</f>
        <v>0</v>
      </c>
      <c r="S12" s="102" t="n">
        <f aca="false">MAX(0,MIN(S$6,Assumptions!N$98)-MAX(S$7,DATE(2026,10,1),$C$7+1)+1)/DAY(Assumptions!N$98)</f>
        <v>0</v>
      </c>
      <c r="T12" s="102" t="n">
        <f aca="false">MAX(0,MIN(T$6,Assumptions!N$98)-MAX(T$7,DATE(2026,10,1),$C$7+1)+1)/DAY(Assumptions!N$98)</f>
        <v>0</v>
      </c>
      <c r="U12" s="102" t="n">
        <f aca="false">SUM(H12:T12)</f>
        <v>1</v>
      </c>
    </row>
    <row r="13" customFormat="false" ht="15" hidden="false" customHeight="false" outlineLevel="1" collapsed="false">
      <c r="A13" s="14" t="s">
        <v>583</v>
      </c>
      <c r="H13" s="102" t="n">
        <f aca="false">MAX(0,MIN(H$6,Assumptions!O$98)-MAX(H$7,DATE(2026,11,1),$C$7+1)+1)/DAY(Assumptions!O$98)</f>
        <v>0</v>
      </c>
      <c r="I13" s="102" t="n">
        <f aca="false">MAX(0,MIN(I$6,Assumptions!O$98)-MAX(I$7,DATE(2026,11,1),$C$7+1)+1)/DAY(Assumptions!O$98)</f>
        <v>0</v>
      </c>
      <c r="J13" s="102" t="n">
        <f aca="false">MAX(0,MIN(J$6,Assumptions!O$98)-MAX(J$7,DATE(2026,11,1),$C$7+1)+1)/DAY(Assumptions!O$98)</f>
        <v>0</v>
      </c>
      <c r="K13" s="102" t="n">
        <f aca="false">MAX(0,MIN(K$6,Assumptions!O$98)-MAX(K$7,DATE(2026,11,1),$C$7+1)+1)/DAY(Assumptions!O$98)</f>
        <v>0</v>
      </c>
      <c r="L13" s="102" t="n">
        <f aca="false">MAX(0,MIN(L$6,Assumptions!O$98)-MAX(L$7,DATE(2026,11,1),$C$7+1)+1)/DAY(Assumptions!O$98)</f>
        <v>0</v>
      </c>
      <c r="M13" s="102" t="n">
        <f aca="false">MAX(0,MIN(M$6,Assumptions!O$98)-MAX(M$7,DATE(2026,11,1),$C$7+1)+1)/DAY(Assumptions!O$98)</f>
        <v>0</v>
      </c>
      <c r="N13" s="102" t="n">
        <f aca="false">MAX(0,MIN(N$6,Assumptions!O$98)-MAX(N$7,DATE(2026,11,1),$C$7+1)+1)/DAY(Assumptions!O$98)</f>
        <v>0</v>
      </c>
      <c r="O13" s="102" t="n">
        <f aca="false">MAX(0,MIN(O$6,Assumptions!O$98)-MAX(O$7,DATE(2026,11,1),$C$7+1)+1)/DAY(Assumptions!O$98)</f>
        <v>0.2</v>
      </c>
      <c r="P13" s="102" t="n">
        <f aca="false">MAX(0,MIN(P$6,Assumptions!O$98)-MAX(P$7,DATE(2026,11,1),$C$7+1)+1)/DAY(Assumptions!O$98)</f>
        <v>0.233333333333333</v>
      </c>
      <c r="Q13" s="102" t="n">
        <f aca="false">MAX(0,MIN(Q$6,Assumptions!O$98)-MAX(Q$7,DATE(2026,11,1),$C$7+1)+1)/DAY(Assumptions!O$98)</f>
        <v>0.233333333333333</v>
      </c>
      <c r="R13" s="102" t="n">
        <f aca="false">MAX(0,MIN(R$6,Assumptions!O$98)-MAX(R$7,DATE(2026,11,1),$C$7+1)+1)/DAY(Assumptions!O$98)</f>
        <v>0.233333333333333</v>
      </c>
      <c r="S13" s="102" t="n">
        <f aca="false">MAX(0,MIN(S$6,Assumptions!O$98)-MAX(S$7,DATE(2026,11,1),$C$7+1)+1)/DAY(Assumptions!O$98)</f>
        <v>0.1</v>
      </c>
      <c r="T13" s="102" t="n">
        <f aca="false">MAX(0,MIN(T$6,Assumptions!O$98)-MAX(T$7,DATE(2026,11,1),$C$7+1)+1)/DAY(Assumptions!O$98)</f>
        <v>0</v>
      </c>
      <c r="U13" s="102" t="n">
        <f aca="false">SUM(H13:T13)</f>
        <v>1</v>
      </c>
    </row>
    <row r="14" customFormat="false" ht="15" hidden="false" customHeight="false" outlineLevel="1" collapsed="false">
      <c r="A14" s="14" t="s">
        <v>584</v>
      </c>
      <c r="H14" s="102" t="n">
        <f aca="false">MAX(0,MIN(H$6,Assumptions!P$98)-MAX(H$7,DATE(2026,12,1),$C$7+1)+1)/DAY(Assumptions!P$98)</f>
        <v>0</v>
      </c>
      <c r="I14" s="102" t="n">
        <f aca="false">MAX(0,MIN(I$6,Assumptions!P$98)-MAX(I$7,DATE(2026,12,1),$C$7+1)+1)/DAY(Assumptions!P$98)</f>
        <v>0</v>
      </c>
      <c r="J14" s="102" t="n">
        <f aca="false">MAX(0,MIN(J$6,Assumptions!P$98)-MAX(J$7,DATE(2026,12,1),$C$7+1)+1)/DAY(Assumptions!P$98)</f>
        <v>0</v>
      </c>
      <c r="K14" s="102" t="n">
        <f aca="false">MAX(0,MIN(K$6,Assumptions!P$98)-MAX(K$7,DATE(2026,12,1),$C$7+1)+1)/DAY(Assumptions!P$98)</f>
        <v>0</v>
      </c>
      <c r="L14" s="102" t="n">
        <f aca="false">MAX(0,MIN(L$6,Assumptions!P$98)-MAX(L$7,DATE(2026,12,1),$C$7+1)+1)/DAY(Assumptions!P$98)</f>
        <v>0</v>
      </c>
      <c r="M14" s="102" t="n">
        <f aca="false">MAX(0,MIN(M$6,Assumptions!P$98)-MAX(M$7,DATE(2026,12,1),$C$7+1)+1)/DAY(Assumptions!P$98)</f>
        <v>0</v>
      </c>
      <c r="N14" s="102" t="n">
        <f aca="false">MAX(0,MIN(N$6,Assumptions!P$98)-MAX(N$7,DATE(2026,12,1),$C$7+1)+1)/DAY(Assumptions!P$98)</f>
        <v>0</v>
      </c>
      <c r="O14" s="102" t="n">
        <f aca="false">MAX(0,MIN(O$6,Assumptions!P$98)-MAX(O$7,DATE(2026,12,1),$C$7+1)+1)/DAY(Assumptions!P$98)</f>
        <v>0</v>
      </c>
      <c r="P14" s="102" t="n">
        <f aca="false">MAX(0,MIN(P$6,Assumptions!P$98)-MAX(P$7,DATE(2026,12,1),$C$7+1)+1)/DAY(Assumptions!P$98)</f>
        <v>0</v>
      </c>
      <c r="Q14" s="102" t="n">
        <f aca="false">MAX(0,MIN(Q$6,Assumptions!P$98)-MAX(Q$7,DATE(2026,12,1),$C$7+1)+1)/DAY(Assumptions!P$98)</f>
        <v>0</v>
      </c>
      <c r="R14" s="102" t="n">
        <f aca="false">MAX(0,MIN(R$6,Assumptions!P$98)-MAX(R$7,DATE(2026,12,1),$C$7+1)+1)/DAY(Assumptions!P$98)</f>
        <v>0</v>
      </c>
      <c r="S14" s="102" t="n">
        <f aca="false">MAX(0,MIN(S$6,Assumptions!P$98)-MAX(S$7,DATE(2026,12,1),$C$7+1)+1)/DAY(Assumptions!P$98)</f>
        <v>0.129032258064516</v>
      </c>
      <c r="T14" s="102" t="n">
        <f aca="false">MAX(0,MIN(T$6,Assumptions!P$98)-MAX(T$7,DATE(2026,12,1),$C$7+1)+1)/DAY(Assumptions!P$98)</f>
        <v>0.225806451612903</v>
      </c>
      <c r="U14" s="102" t="n">
        <f aca="false">SUM(H14:T14)</f>
        <v>0.354838709677419</v>
      </c>
    </row>
    <row r="15" customFormat="false" ht="15" hidden="false" customHeight="false" outlineLevel="1" collapsed="false">
      <c r="A15" s="14" t="s">
        <v>585</v>
      </c>
      <c r="H15" s="102" t="n">
        <f aca="false">IF(AND(DATE(2026,9,10)&gt;=H$7,DATE(2026,9,10)&lt;=H$6,DATE(2026,9,10)&gt;$C$7),1,0)</f>
        <v>0</v>
      </c>
      <c r="I15" s="102" t="n">
        <f aca="false">IF(AND(DATE(2026,9,10)&gt;=I$7,DATE(2026,9,10)&lt;=I$6,DATE(2026,9,10)&gt;$C$7),1,0)</f>
        <v>0</v>
      </c>
      <c r="J15" s="102" t="n">
        <f aca="false">IF(AND(DATE(2026,9,10)&gt;=J$7,DATE(2026,9,10)&lt;=J$6,DATE(2026,9,10)&gt;$C$7),1,0)</f>
        <v>0</v>
      </c>
      <c r="K15" s="102" t="n">
        <f aca="false">IF(AND(DATE(2026,9,10)&gt;=K$7,DATE(2026,9,10)&lt;=K$6,DATE(2026,9,10)&gt;$C$7),1,0)</f>
        <v>0</v>
      </c>
      <c r="L15" s="102" t="n">
        <f aca="false">IF(AND(DATE(2026,9,10)&gt;=L$7,DATE(2026,9,10)&lt;=L$6,DATE(2026,9,10)&gt;$C$7),1,0)</f>
        <v>0</v>
      </c>
      <c r="M15" s="102" t="n">
        <f aca="false">IF(AND(DATE(2026,9,10)&gt;=M$7,DATE(2026,9,10)&lt;=M$6,DATE(2026,9,10)&gt;$C$7),1,0)</f>
        <v>0</v>
      </c>
      <c r="N15" s="102" t="n">
        <f aca="false">IF(AND(DATE(2026,9,10)&gt;=N$7,DATE(2026,9,10)&lt;=N$6,DATE(2026,9,10)&gt;$C$7),1,0)</f>
        <v>0</v>
      </c>
      <c r="O15" s="102" t="n">
        <f aca="false">IF(AND(DATE(2026,9,10)&gt;=O$7,DATE(2026,9,10)&lt;=O$6,DATE(2026,9,10)&gt;$C$7),1,0)</f>
        <v>0</v>
      </c>
      <c r="P15" s="102" t="n">
        <f aca="false">IF(AND(DATE(2026,9,10)&gt;=P$7,DATE(2026,9,10)&lt;=P$6,DATE(2026,9,10)&gt;$C$7),1,0)</f>
        <v>0</v>
      </c>
      <c r="Q15" s="102" t="n">
        <f aca="false">IF(AND(DATE(2026,9,10)&gt;=Q$7,DATE(2026,9,10)&lt;=Q$6,DATE(2026,9,10)&gt;$C$7),1,0)</f>
        <v>0</v>
      </c>
      <c r="R15" s="102" t="n">
        <f aca="false">IF(AND(DATE(2026,9,10)&gt;=R$7,DATE(2026,9,10)&lt;=R$6,DATE(2026,9,10)&gt;$C$7),1,0)</f>
        <v>0</v>
      </c>
      <c r="S15" s="102" t="n">
        <f aca="false">IF(AND(DATE(2026,9,10)&gt;=S$7,DATE(2026,9,10)&lt;=S$6,DATE(2026,9,10)&gt;$C$7),1,0)</f>
        <v>0</v>
      </c>
      <c r="T15" s="102" t="n">
        <f aca="false">IF(AND(DATE(2026,9,10)&gt;=T$7,DATE(2026,9,10)&lt;=T$6,DATE(2026,9,10)&gt;$C$7),1,0)</f>
        <v>0</v>
      </c>
      <c r="U15" s="102" t="n">
        <f aca="false">SUM(H15:T15)</f>
        <v>0</v>
      </c>
    </row>
    <row r="16" customFormat="false" ht="15" hidden="false" customHeight="false" outlineLevel="1" collapsed="false">
      <c r="A16" s="14" t="s">
        <v>586</v>
      </c>
      <c r="H16" s="102" t="n">
        <f aca="false">IF(AND(DATE(2026,10,10)&gt;=H$7,DATE(2026,10,10)&lt;=H$6,DATE(2026,10,10)&gt;$C$7),1,0)</f>
        <v>0</v>
      </c>
      <c r="I16" s="102" t="n">
        <f aca="false">IF(AND(DATE(2026,10,10)&gt;=I$7,DATE(2026,10,10)&lt;=I$6,DATE(2026,10,10)&gt;$C$7),1,0)</f>
        <v>0</v>
      </c>
      <c r="J16" s="102" t="n">
        <f aca="false">IF(AND(DATE(2026,10,10)&gt;=J$7,DATE(2026,10,10)&lt;=J$6,DATE(2026,10,10)&gt;$C$7),1,0)</f>
        <v>0</v>
      </c>
      <c r="K16" s="102" t="n">
        <f aca="false">IF(AND(DATE(2026,10,10)&gt;=K$7,DATE(2026,10,10)&lt;=K$6,DATE(2026,10,10)&gt;$C$7),1,0)</f>
        <v>0</v>
      </c>
      <c r="L16" s="102" t="n">
        <f aca="false">IF(AND(DATE(2026,10,10)&gt;=L$7,DATE(2026,10,10)&lt;=L$6,DATE(2026,10,10)&gt;$C$7),1,0)</f>
        <v>1</v>
      </c>
      <c r="M16" s="102" t="n">
        <f aca="false">IF(AND(DATE(2026,10,10)&gt;=M$7,DATE(2026,10,10)&lt;=M$6,DATE(2026,10,10)&gt;$C$7),1,0)</f>
        <v>0</v>
      </c>
      <c r="N16" s="102" t="n">
        <f aca="false">IF(AND(DATE(2026,10,10)&gt;=N$7,DATE(2026,10,10)&lt;=N$6,DATE(2026,10,10)&gt;$C$7),1,0)</f>
        <v>0</v>
      </c>
      <c r="O16" s="102" t="n">
        <f aca="false">IF(AND(DATE(2026,10,10)&gt;=O$7,DATE(2026,10,10)&lt;=O$6,DATE(2026,10,10)&gt;$C$7),1,0)</f>
        <v>0</v>
      </c>
      <c r="P16" s="102" t="n">
        <f aca="false">IF(AND(DATE(2026,10,10)&gt;=P$7,DATE(2026,10,10)&lt;=P$6,DATE(2026,10,10)&gt;$C$7),1,0)</f>
        <v>0</v>
      </c>
      <c r="Q16" s="102" t="n">
        <f aca="false">IF(AND(DATE(2026,10,10)&gt;=Q$7,DATE(2026,10,10)&lt;=Q$6,DATE(2026,10,10)&gt;$C$7),1,0)</f>
        <v>0</v>
      </c>
      <c r="R16" s="102" t="n">
        <f aca="false">IF(AND(DATE(2026,10,10)&gt;=R$7,DATE(2026,10,10)&lt;=R$6,DATE(2026,10,10)&gt;$C$7),1,0)</f>
        <v>0</v>
      </c>
      <c r="S16" s="102" t="n">
        <f aca="false">IF(AND(DATE(2026,10,10)&gt;=S$7,DATE(2026,10,10)&lt;=S$6,DATE(2026,10,10)&gt;$C$7),1,0)</f>
        <v>0</v>
      </c>
      <c r="T16" s="102" t="n">
        <f aca="false">IF(AND(DATE(2026,10,10)&gt;=T$7,DATE(2026,10,10)&lt;=T$6,DATE(2026,10,10)&gt;$C$7),1,0)</f>
        <v>0</v>
      </c>
      <c r="U16" s="102" t="n">
        <f aca="false">SUM(H16:T16)</f>
        <v>1</v>
      </c>
    </row>
    <row r="17" customFormat="false" ht="15" hidden="false" customHeight="false" outlineLevel="1" collapsed="false">
      <c r="A17" s="14" t="s">
        <v>587</v>
      </c>
      <c r="H17" s="102" t="n">
        <f aca="false">IF(AND(DATE(2026,11,10)&gt;=H$7,DATE(2026,11,10)&lt;=H$6,DATE(2026,11,10)&gt;$C$7),1,0)</f>
        <v>0</v>
      </c>
      <c r="I17" s="102" t="n">
        <f aca="false">IF(AND(DATE(2026,11,10)&gt;=I$7,DATE(2026,11,10)&lt;=I$6,DATE(2026,11,10)&gt;$C$7),1,0)</f>
        <v>0</v>
      </c>
      <c r="J17" s="102" t="n">
        <f aca="false">IF(AND(DATE(2026,11,10)&gt;=J$7,DATE(2026,11,10)&lt;=J$6,DATE(2026,11,10)&gt;$C$7),1,0)</f>
        <v>0</v>
      </c>
      <c r="K17" s="102" t="n">
        <f aca="false">IF(AND(DATE(2026,11,10)&gt;=K$7,DATE(2026,11,10)&lt;=K$6,DATE(2026,11,10)&gt;$C$7),1,0)</f>
        <v>0</v>
      </c>
      <c r="L17" s="102" t="n">
        <f aca="false">IF(AND(DATE(2026,11,10)&gt;=L$7,DATE(2026,11,10)&lt;=L$6,DATE(2026,11,10)&gt;$C$7),1,0)</f>
        <v>0</v>
      </c>
      <c r="M17" s="102" t="n">
        <f aca="false">IF(AND(DATE(2026,11,10)&gt;=M$7,DATE(2026,11,10)&lt;=M$6,DATE(2026,11,10)&gt;$C$7),1,0)</f>
        <v>0</v>
      </c>
      <c r="N17" s="102" t="n">
        <f aca="false">IF(AND(DATE(2026,11,10)&gt;=N$7,DATE(2026,11,10)&lt;=N$6,DATE(2026,11,10)&gt;$C$7),1,0)</f>
        <v>0</v>
      </c>
      <c r="O17" s="102" t="n">
        <f aca="false">IF(AND(DATE(2026,11,10)&gt;=O$7,DATE(2026,11,10)&lt;=O$6,DATE(2026,11,10)&gt;$C$7),1,0)</f>
        <v>0</v>
      </c>
      <c r="P17" s="102" t="n">
        <f aca="false">IF(AND(DATE(2026,11,10)&gt;=P$7,DATE(2026,11,10)&lt;=P$6,DATE(2026,11,10)&gt;$C$7),1,0)</f>
        <v>1</v>
      </c>
      <c r="Q17" s="102" t="n">
        <f aca="false">IF(AND(DATE(2026,11,10)&gt;=Q$7,DATE(2026,11,10)&lt;=Q$6,DATE(2026,11,10)&gt;$C$7),1,0)</f>
        <v>0</v>
      </c>
      <c r="R17" s="102" t="n">
        <f aca="false">IF(AND(DATE(2026,11,10)&gt;=R$7,DATE(2026,11,10)&lt;=R$6,DATE(2026,11,10)&gt;$C$7),1,0)</f>
        <v>0</v>
      </c>
      <c r="S17" s="102" t="n">
        <f aca="false">IF(AND(DATE(2026,11,10)&gt;=S$7,DATE(2026,11,10)&lt;=S$6,DATE(2026,11,10)&gt;$C$7),1,0)</f>
        <v>0</v>
      </c>
      <c r="T17" s="102" t="n">
        <f aca="false">IF(AND(DATE(2026,11,10)&gt;=T$7,DATE(2026,11,10)&lt;=T$6,DATE(2026,11,10)&gt;$C$7),1,0)</f>
        <v>0</v>
      </c>
      <c r="U17" s="102" t="n">
        <f aca="false">SUM(H17:T17)</f>
        <v>1</v>
      </c>
    </row>
    <row r="18" customFormat="false" ht="15" hidden="false" customHeight="false" outlineLevel="1" collapsed="false">
      <c r="A18" s="14" t="s">
        <v>588</v>
      </c>
      <c r="H18" s="102" t="n">
        <f aca="false">IF(AND(DATE(2026,12,10)&gt;=H$7,DATE(2026,12,10)&lt;=H$6,DATE(2026,12,10)&gt;$C$7),1,0)</f>
        <v>0</v>
      </c>
      <c r="I18" s="102" t="n">
        <f aca="false">IF(AND(DATE(2026,12,10)&gt;=I$7,DATE(2026,12,10)&lt;=I$6,DATE(2026,12,10)&gt;$C$7),1,0)</f>
        <v>0</v>
      </c>
      <c r="J18" s="102" t="n">
        <f aca="false">IF(AND(DATE(2026,12,10)&gt;=J$7,DATE(2026,12,10)&lt;=J$6,DATE(2026,12,10)&gt;$C$7),1,0)</f>
        <v>0</v>
      </c>
      <c r="K18" s="102" t="n">
        <f aca="false">IF(AND(DATE(2026,12,10)&gt;=K$7,DATE(2026,12,10)&lt;=K$6,DATE(2026,12,10)&gt;$C$7),1,0)</f>
        <v>0</v>
      </c>
      <c r="L18" s="102" t="n">
        <f aca="false">IF(AND(DATE(2026,12,10)&gt;=L$7,DATE(2026,12,10)&lt;=L$6,DATE(2026,12,10)&gt;$C$7),1,0)</f>
        <v>0</v>
      </c>
      <c r="M18" s="102" t="n">
        <f aca="false">IF(AND(DATE(2026,12,10)&gt;=M$7,DATE(2026,12,10)&lt;=M$6,DATE(2026,12,10)&gt;$C$7),1,0)</f>
        <v>0</v>
      </c>
      <c r="N18" s="102" t="n">
        <f aca="false">IF(AND(DATE(2026,12,10)&gt;=N$7,DATE(2026,12,10)&lt;=N$6,DATE(2026,12,10)&gt;$C$7),1,0)</f>
        <v>0</v>
      </c>
      <c r="O18" s="102" t="n">
        <f aca="false">IF(AND(DATE(2026,12,10)&gt;=O$7,DATE(2026,12,10)&lt;=O$6,DATE(2026,12,10)&gt;$C$7),1,0)</f>
        <v>0</v>
      </c>
      <c r="P18" s="102" t="n">
        <f aca="false">IF(AND(DATE(2026,12,10)&gt;=P$7,DATE(2026,12,10)&lt;=P$6,DATE(2026,12,10)&gt;$C$7),1,0)</f>
        <v>0</v>
      </c>
      <c r="Q18" s="102" t="n">
        <f aca="false">IF(AND(DATE(2026,12,10)&gt;=Q$7,DATE(2026,12,10)&lt;=Q$6,DATE(2026,12,10)&gt;$C$7),1,0)</f>
        <v>0</v>
      </c>
      <c r="R18" s="102" t="n">
        <f aca="false">IF(AND(DATE(2026,12,10)&gt;=R$7,DATE(2026,12,10)&lt;=R$6,DATE(2026,12,10)&gt;$C$7),1,0)</f>
        <v>0</v>
      </c>
      <c r="S18" s="102" t="n">
        <f aca="false">IF(AND(DATE(2026,12,10)&gt;=S$7,DATE(2026,12,10)&lt;=S$6,DATE(2026,12,10)&gt;$C$7),1,0)</f>
        <v>0</v>
      </c>
      <c r="T18" s="102" t="n">
        <f aca="false">IF(AND(DATE(2026,12,10)&gt;=T$7,DATE(2026,12,10)&lt;=T$6,DATE(2026,12,10)&gt;$C$7),1,0)</f>
        <v>1</v>
      </c>
      <c r="U18" s="102" t="n">
        <f aca="false">SUM(H18:T18)</f>
        <v>1</v>
      </c>
    </row>
    <row r="19" customFormat="false" ht="15" hidden="false" customHeight="false" outlineLevel="1" collapsed="false">
      <c r="A19" s="14" t="s">
        <v>589</v>
      </c>
      <c r="H19" s="102" t="n">
        <f aca="false">IF(AND(DATE(2026,9,20)&gt;=H$7,DATE(2026,9,20)&lt;=H$6,DATE(2026,9,20)&gt;$C$7),1,0)</f>
        <v>0</v>
      </c>
      <c r="I19" s="102" t="n">
        <f aca="false">IF(AND(DATE(2026,9,20)&gt;=I$7,DATE(2026,9,20)&lt;=I$6,DATE(2026,9,20)&gt;$C$7),1,0)</f>
        <v>1</v>
      </c>
      <c r="J19" s="102" t="n">
        <f aca="false">IF(AND(DATE(2026,9,20)&gt;=J$7,DATE(2026,9,20)&lt;=J$6,DATE(2026,9,20)&gt;$C$7),1,0)</f>
        <v>0</v>
      </c>
      <c r="K19" s="102" t="n">
        <f aca="false">IF(AND(DATE(2026,9,20)&gt;=K$7,DATE(2026,9,20)&lt;=K$6,DATE(2026,9,20)&gt;$C$7),1,0)</f>
        <v>0</v>
      </c>
      <c r="L19" s="102" t="n">
        <f aca="false">IF(AND(DATE(2026,9,20)&gt;=L$7,DATE(2026,9,20)&lt;=L$6,DATE(2026,9,20)&gt;$C$7),1,0)</f>
        <v>0</v>
      </c>
      <c r="M19" s="102" t="n">
        <f aca="false">IF(AND(DATE(2026,9,20)&gt;=M$7,DATE(2026,9,20)&lt;=M$6,DATE(2026,9,20)&gt;$C$7),1,0)</f>
        <v>0</v>
      </c>
      <c r="N19" s="102" t="n">
        <f aca="false">IF(AND(DATE(2026,9,20)&gt;=N$7,DATE(2026,9,20)&lt;=N$6,DATE(2026,9,20)&gt;$C$7),1,0)</f>
        <v>0</v>
      </c>
      <c r="O19" s="102" t="n">
        <f aca="false">IF(AND(DATE(2026,9,20)&gt;=O$7,DATE(2026,9,20)&lt;=O$6,DATE(2026,9,20)&gt;$C$7),1,0)</f>
        <v>0</v>
      </c>
      <c r="P19" s="102" t="n">
        <f aca="false">IF(AND(DATE(2026,9,20)&gt;=P$7,DATE(2026,9,20)&lt;=P$6,DATE(2026,9,20)&gt;$C$7),1,0)</f>
        <v>0</v>
      </c>
      <c r="Q19" s="102" t="n">
        <f aca="false">IF(AND(DATE(2026,9,20)&gt;=Q$7,DATE(2026,9,20)&lt;=Q$6,DATE(2026,9,20)&gt;$C$7),1,0)</f>
        <v>0</v>
      </c>
      <c r="R19" s="102" t="n">
        <f aca="false">IF(AND(DATE(2026,9,20)&gt;=R$7,DATE(2026,9,20)&lt;=R$6,DATE(2026,9,20)&gt;$C$7),1,0)</f>
        <v>0</v>
      </c>
      <c r="S19" s="102" t="n">
        <f aca="false">IF(AND(DATE(2026,9,20)&gt;=S$7,DATE(2026,9,20)&lt;=S$6,DATE(2026,9,20)&gt;$C$7),1,0)</f>
        <v>0</v>
      </c>
      <c r="T19" s="102" t="n">
        <f aca="false">IF(AND(DATE(2026,9,20)&gt;=T$7,DATE(2026,9,20)&lt;=T$6,DATE(2026,9,20)&gt;$C$7),1,0)</f>
        <v>0</v>
      </c>
      <c r="U19" s="102" t="n">
        <f aca="false">SUM(H19:T19)</f>
        <v>1</v>
      </c>
    </row>
    <row r="20" customFormat="false" ht="15" hidden="false" customHeight="false" outlineLevel="1" collapsed="false">
      <c r="A20" s="14" t="s">
        <v>590</v>
      </c>
      <c r="H20" s="102" t="n">
        <f aca="false">IF(AND(DATE(2026,10,20)&gt;=H$7,DATE(2026,10,20)&lt;=H$6,DATE(2026,10,20)&gt;$C$7),1,0)</f>
        <v>0</v>
      </c>
      <c r="I20" s="102" t="n">
        <f aca="false">IF(AND(DATE(2026,10,20)&gt;=I$7,DATE(2026,10,20)&lt;=I$6,DATE(2026,10,20)&gt;$C$7),1,0)</f>
        <v>0</v>
      </c>
      <c r="J20" s="102" t="n">
        <f aca="false">IF(AND(DATE(2026,10,20)&gt;=J$7,DATE(2026,10,20)&lt;=J$6,DATE(2026,10,20)&gt;$C$7),1,0)</f>
        <v>0</v>
      </c>
      <c r="K20" s="102" t="n">
        <f aca="false">IF(AND(DATE(2026,10,20)&gt;=K$7,DATE(2026,10,20)&lt;=K$6,DATE(2026,10,20)&gt;$C$7),1,0)</f>
        <v>0</v>
      </c>
      <c r="L20" s="102" t="n">
        <f aca="false">IF(AND(DATE(2026,10,20)&gt;=L$7,DATE(2026,10,20)&lt;=L$6,DATE(2026,10,20)&gt;$C$7),1,0)</f>
        <v>0</v>
      </c>
      <c r="M20" s="102" t="n">
        <f aca="false">IF(AND(DATE(2026,10,20)&gt;=M$7,DATE(2026,10,20)&lt;=M$6,DATE(2026,10,20)&gt;$C$7),1,0)</f>
        <v>1</v>
      </c>
      <c r="N20" s="102" t="n">
        <f aca="false">IF(AND(DATE(2026,10,20)&gt;=N$7,DATE(2026,10,20)&lt;=N$6,DATE(2026,10,20)&gt;$C$7),1,0)</f>
        <v>0</v>
      </c>
      <c r="O20" s="102" t="n">
        <f aca="false">IF(AND(DATE(2026,10,20)&gt;=O$7,DATE(2026,10,20)&lt;=O$6,DATE(2026,10,20)&gt;$C$7),1,0)</f>
        <v>0</v>
      </c>
      <c r="P20" s="102" t="n">
        <f aca="false">IF(AND(DATE(2026,10,20)&gt;=P$7,DATE(2026,10,20)&lt;=P$6,DATE(2026,10,20)&gt;$C$7),1,0)</f>
        <v>0</v>
      </c>
      <c r="Q20" s="102" t="n">
        <f aca="false">IF(AND(DATE(2026,10,20)&gt;=Q$7,DATE(2026,10,20)&lt;=Q$6,DATE(2026,10,20)&gt;$C$7),1,0)</f>
        <v>0</v>
      </c>
      <c r="R20" s="102" t="n">
        <f aca="false">IF(AND(DATE(2026,10,20)&gt;=R$7,DATE(2026,10,20)&lt;=R$6,DATE(2026,10,20)&gt;$C$7),1,0)</f>
        <v>0</v>
      </c>
      <c r="S20" s="102" t="n">
        <f aca="false">IF(AND(DATE(2026,10,20)&gt;=S$7,DATE(2026,10,20)&lt;=S$6,DATE(2026,10,20)&gt;$C$7),1,0)</f>
        <v>0</v>
      </c>
      <c r="T20" s="102" t="n">
        <f aca="false">IF(AND(DATE(2026,10,20)&gt;=T$7,DATE(2026,10,20)&lt;=T$6,DATE(2026,10,20)&gt;$C$7),1,0)</f>
        <v>0</v>
      </c>
      <c r="U20" s="102" t="n">
        <f aca="false">SUM(H20:T20)</f>
        <v>1</v>
      </c>
    </row>
    <row r="21" customFormat="false" ht="15" hidden="false" customHeight="false" outlineLevel="1" collapsed="false">
      <c r="A21" s="14" t="s">
        <v>591</v>
      </c>
      <c r="H21" s="102" t="n">
        <f aca="false">IF(AND(DATE(2026,11,20)&gt;=H$7,DATE(2026,11,20)&lt;=H$6,DATE(2026,11,20)&gt;$C$7),1,0)</f>
        <v>0</v>
      </c>
      <c r="I21" s="102" t="n">
        <f aca="false">IF(AND(DATE(2026,11,20)&gt;=I$7,DATE(2026,11,20)&lt;=I$6,DATE(2026,11,20)&gt;$C$7),1,0)</f>
        <v>0</v>
      </c>
      <c r="J21" s="102" t="n">
        <f aca="false">IF(AND(DATE(2026,11,20)&gt;=J$7,DATE(2026,11,20)&lt;=J$6,DATE(2026,11,20)&gt;$C$7),1,0)</f>
        <v>0</v>
      </c>
      <c r="K21" s="102" t="n">
        <f aca="false">IF(AND(DATE(2026,11,20)&gt;=K$7,DATE(2026,11,20)&lt;=K$6,DATE(2026,11,20)&gt;$C$7),1,0)</f>
        <v>0</v>
      </c>
      <c r="L21" s="102" t="n">
        <f aca="false">IF(AND(DATE(2026,11,20)&gt;=L$7,DATE(2026,11,20)&lt;=L$6,DATE(2026,11,20)&gt;$C$7),1,0)</f>
        <v>0</v>
      </c>
      <c r="M21" s="102" t="n">
        <f aca="false">IF(AND(DATE(2026,11,20)&gt;=M$7,DATE(2026,11,20)&lt;=M$6,DATE(2026,11,20)&gt;$C$7),1,0)</f>
        <v>0</v>
      </c>
      <c r="N21" s="102" t="n">
        <f aca="false">IF(AND(DATE(2026,11,20)&gt;=N$7,DATE(2026,11,20)&lt;=N$6,DATE(2026,11,20)&gt;$C$7),1,0)</f>
        <v>0</v>
      </c>
      <c r="O21" s="102" t="n">
        <f aca="false">IF(AND(DATE(2026,11,20)&gt;=O$7,DATE(2026,11,20)&lt;=O$6,DATE(2026,11,20)&gt;$C$7),1,0)</f>
        <v>0</v>
      </c>
      <c r="P21" s="102" t="n">
        <f aca="false">IF(AND(DATE(2026,11,20)&gt;=P$7,DATE(2026,11,20)&lt;=P$6,DATE(2026,11,20)&gt;$C$7),1,0)</f>
        <v>0</v>
      </c>
      <c r="Q21" s="102" t="n">
        <f aca="false">IF(AND(DATE(2026,11,20)&gt;=Q$7,DATE(2026,11,20)&lt;=Q$6,DATE(2026,11,20)&gt;$C$7),1,0)</f>
        <v>1</v>
      </c>
      <c r="R21" s="102" t="n">
        <f aca="false">IF(AND(DATE(2026,11,20)&gt;=R$7,DATE(2026,11,20)&lt;=R$6,DATE(2026,11,20)&gt;$C$7),1,0)</f>
        <v>0</v>
      </c>
      <c r="S21" s="102" t="n">
        <f aca="false">IF(AND(DATE(2026,11,20)&gt;=S$7,DATE(2026,11,20)&lt;=S$6,DATE(2026,11,20)&gt;$C$7),1,0)</f>
        <v>0</v>
      </c>
      <c r="T21" s="102" t="n">
        <f aca="false">IF(AND(DATE(2026,11,20)&gt;=T$7,DATE(2026,11,20)&lt;=T$6,DATE(2026,11,20)&gt;$C$7),1,0)</f>
        <v>0</v>
      </c>
      <c r="U21" s="102" t="n">
        <f aca="false">SUM(H21:T21)</f>
        <v>1</v>
      </c>
    </row>
    <row r="22" customFormat="false" ht="15" hidden="false" customHeight="false" outlineLevel="1" collapsed="false">
      <c r="A22" s="14" t="s">
        <v>592</v>
      </c>
      <c r="H22" s="102" t="n">
        <f aca="false">IF(AND(DATE(2026,12,20)&gt;=H$7,DATE(2026,12,20)&lt;=H$6,DATE(2026,12,20)&gt;$C$7),1,0)</f>
        <v>0</v>
      </c>
      <c r="I22" s="102" t="n">
        <f aca="false">IF(AND(DATE(2026,12,20)&gt;=I$7,DATE(2026,12,20)&lt;=I$6,DATE(2026,12,20)&gt;$C$7),1,0)</f>
        <v>0</v>
      </c>
      <c r="J22" s="102" t="n">
        <f aca="false">IF(AND(DATE(2026,12,20)&gt;=J$7,DATE(2026,12,20)&lt;=J$6,DATE(2026,12,20)&gt;$C$7),1,0)</f>
        <v>0</v>
      </c>
      <c r="K22" s="102" t="n">
        <f aca="false">IF(AND(DATE(2026,12,20)&gt;=K$7,DATE(2026,12,20)&lt;=K$6,DATE(2026,12,20)&gt;$C$7),1,0)</f>
        <v>0</v>
      </c>
      <c r="L22" s="102" t="n">
        <f aca="false">IF(AND(DATE(2026,12,20)&gt;=L$7,DATE(2026,12,20)&lt;=L$6,DATE(2026,12,20)&gt;$C$7),1,0)</f>
        <v>0</v>
      </c>
      <c r="M22" s="102" t="n">
        <f aca="false">IF(AND(DATE(2026,12,20)&gt;=M$7,DATE(2026,12,20)&lt;=M$6,DATE(2026,12,20)&gt;$C$7),1,0)</f>
        <v>0</v>
      </c>
      <c r="N22" s="102" t="n">
        <f aca="false">IF(AND(DATE(2026,12,20)&gt;=N$7,DATE(2026,12,20)&lt;=N$6,DATE(2026,12,20)&gt;$C$7),1,0)</f>
        <v>0</v>
      </c>
      <c r="O22" s="102" t="n">
        <f aca="false">IF(AND(DATE(2026,12,20)&gt;=O$7,DATE(2026,12,20)&lt;=O$6,DATE(2026,12,20)&gt;$C$7),1,0)</f>
        <v>0</v>
      </c>
      <c r="P22" s="102" t="n">
        <f aca="false">IF(AND(DATE(2026,12,20)&gt;=P$7,DATE(2026,12,20)&lt;=P$6,DATE(2026,12,20)&gt;$C$7),1,0)</f>
        <v>0</v>
      </c>
      <c r="Q22" s="102" t="n">
        <f aca="false">IF(AND(DATE(2026,12,20)&gt;=Q$7,DATE(2026,12,20)&lt;=Q$6,DATE(2026,12,20)&gt;$C$7),1,0)</f>
        <v>0</v>
      </c>
      <c r="R22" s="102" t="n">
        <f aca="false">IF(AND(DATE(2026,12,20)&gt;=R$7,DATE(2026,12,20)&lt;=R$6,DATE(2026,12,20)&gt;$C$7),1,0)</f>
        <v>0</v>
      </c>
      <c r="S22" s="102" t="n">
        <f aca="false">IF(AND(DATE(2026,12,20)&gt;=S$7,DATE(2026,12,20)&lt;=S$6,DATE(2026,12,20)&gt;$C$7),1,0)</f>
        <v>0</v>
      </c>
      <c r="T22" s="102" t="n">
        <f aca="false">IF(AND(DATE(2026,12,20)&gt;=T$7,DATE(2026,12,20)&lt;=T$6,DATE(2026,12,20)&gt;$C$7),1,0)</f>
        <v>0</v>
      </c>
      <c r="U22" s="102" t="n">
        <f aca="false">SUM(H22:T22)</f>
        <v>0</v>
      </c>
    </row>
    <row r="23" customFormat="false" ht="15" hidden="false" customHeight="false" outlineLevel="1" collapsed="false">
      <c r="A23" s="14" t="s">
        <v>593</v>
      </c>
      <c r="H23" s="102" t="n">
        <f aca="false">IF(AND(DATE(2026,9,25)&gt;=H$7,DATE(2026,9,25)&lt;=H$6,DATE(2026,9,25)&gt;$C$7),1,0)</f>
        <v>0</v>
      </c>
      <c r="I23" s="102" t="n">
        <f aca="false">IF(AND(DATE(2026,9,25)&gt;=I$7,DATE(2026,9,25)&lt;=I$6,DATE(2026,9,25)&gt;$C$7),1,0)</f>
        <v>1</v>
      </c>
      <c r="J23" s="102" t="n">
        <f aca="false">IF(AND(DATE(2026,9,25)&gt;=J$7,DATE(2026,9,25)&lt;=J$6,DATE(2026,9,25)&gt;$C$7),1,0)</f>
        <v>0</v>
      </c>
      <c r="K23" s="102" t="n">
        <f aca="false">IF(AND(DATE(2026,9,25)&gt;=K$7,DATE(2026,9,25)&lt;=K$6,DATE(2026,9,25)&gt;$C$7),1,0)</f>
        <v>0</v>
      </c>
      <c r="L23" s="102" t="n">
        <f aca="false">IF(AND(DATE(2026,9,25)&gt;=L$7,DATE(2026,9,25)&lt;=L$6,DATE(2026,9,25)&gt;$C$7),1,0)</f>
        <v>0</v>
      </c>
      <c r="M23" s="102" t="n">
        <f aca="false">IF(AND(DATE(2026,9,25)&gt;=M$7,DATE(2026,9,25)&lt;=M$6,DATE(2026,9,25)&gt;$C$7),1,0)</f>
        <v>0</v>
      </c>
      <c r="N23" s="102" t="n">
        <f aca="false">IF(AND(DATE(2026,9,25)&gt;=N$7,DATE(2026,9,25)&lt;=N$6,DATE(2026,9,25)&gt;$C$7),1,0)</f>
        <v>0</v>
      </c>
      <c r="O23" s="102" t="n">
        <f aca="false">IF(AND(DATE(2026,9,25)&gt;=O$7,DATE(2026,9,25)&lt;=O$6,DATE(2026,9,25)&gt;$C$7),1,0)</f>
        <v>0</v>
      </c>
      <c r="P23" s="102" t="n">
        <f aca="false">IF(AND(DATE(2026,9,25)&gt;=P$7,DATE(2026,9,25)&lt;=P$6,DATE(2026,9,25)&gt;$C$7),1,0)</f>
        <v>0</v>
      </c>
      <c r="Q23" s="102" t="n">
        <f aca="false">IF(AND(DATE(2026,9,25)&gt;=Q$7,DATE(2026,9,25)&lt;=Q$6,DATE(2026,9,25)&gt;$C$7),1,0)</f>
        <v>0</v>
      </c>
      <c r="R23" s="102" t="n">
        <f aca="false">IF(AND(DATE(2026,9,25)&gt;=R$7,DATE(2026,9,25)&lt;=R$6,DATE(2026,9,25)&gt;$C$7),1,0)</f>
        <v>0</v>
      </c>
      <c r="S23" s="102" t="n">
        <f aca="false">IF(AND(DATE(2026,9,25)&gt;=S$7,DATE(2026,9,25)&lt;=S$6,DATE(2026,9,25)&gt;$C$7),1,0)</f>
        <v>0</v>
      </c>
      <c r="T23" s="102" t="n">
        <f aca="false">IF(AND(DATE(2026,9,25)&gt;=T$7,DATE(2026,9,25)&lt;=T$6,DATE(2026,9,25)&gt;$C$7),1,0)</f>
        <v>0</v>
      </c>
      <c r="U23" s="102" t="n">
        <f aca="false">SUM(H23:T23)</f>
        <v>1</v>
      </c>
    </row>
    <row r="24" customFormat="false" ht="15" hidden="false" customHeight="false" outlineLevel="1" collapsed="false">
      <c r="A24" s="14" t="s">
        <v>594</v>
      </c>
      <c r="H24" s="102" t="n">
        <f aca="false">IF(AND(DATE(2026,10,25)&gt;=H$7,DATE(2026,10,25)&lt;=H$6,DATE(2026,10,25)&gt;$C$7),1,0)</f>
        <v>0</v>
      </c>
      <c r="I24" s="102" t="n">
        <f aca="false">IF(AND(DATE(2026,10,25)&gt;=I$7,DATE(2026,10,25)&lt;=I$6,DATE(2026,10,25)&gt;$C$7),1,0)</f>
        <v>0</v>
      </c>
      <c r="J24" s="102" t="n">
        <f aca="false">IF(AND(DATE(2026,10,25)&gt;=J$7,DATE(2026,10,25)&lt;=J$6,DATE(2026,10,25)&gt;$C$7),1,0)</f>
        <v>0</v>
      </c>
      <c r="K24" s="102" t="n">
        <f aca="false">IF(AND(DATE(2026,10,25)&gt;=K$7,DATE(2026,10,25)&lt;=K$6,DATE(2026,10,25)&gt;$C$7),1,0)</f>
        <v>0</v>
      </c>
      <c r="L24" s="102" t="n">
        <f aca="false">IF(AND(DATE(2026,10,25)&gt;=L$7,DATE(2026,10,25)&lt;=L$6,DATE(2026,10,25)&gt;$C$7),1,0)</f>
        <v>0</v>
      </c>
      <c r="M24" s="102" t="n">
        <f aca="false">IF(AND(DATE(2026,10,25)&gt;=M$7,DATE(2026,10,25)&lt;=M$6,DATE(2026,10,25)&gt;$C$7),1,0)</f>
        <v>0</v>
      </c>
      <c r="N24" s="102" t="n">
        <f aca="false">IF(AND(DATE(2026,10,25)&gt;=N$7,DATE(2026,10,25)&lt;=N$6,DATE(2026,10,25)&gt;$C$7),1,0)</f>
        <v>1</v>
      </c>
      <c r="O24" s="102" t="n">
        <f aca="false">IF(AND(DATE(2026,10,25)&gt;=O$7,DATE(2026,10,25)&lt;=O$6,DATE(2026,10,25)&gt;$C$7),1,0)</f>
        <v>0</v>
      </c>
      <c r="P24" s="102" t="n">
        <f aca="false">IF(AND(DATE(2026,10,25)&gt;=P$7,DATE(2026,10,25)&lt;=P$6,DATE(2026,10,25)&gt;$C$7),1,0)</f>
        <v>0</v>
      </c>
      <c r="Q24" s="102" t="n">
        <f aca="false">IF(AND(DATE(2026,10,25)&gt;=Q$7,DATE(2026,10,25)&lt;=Q$6,DATE(2026,10,25)&gt;$C$7),1,0)</f>
        <v>0</v>
      </c>
      <c r="R24" s="102" t="n">
        <f aca="false">IF(AND(DATE(2026,10,25)&gt;=R$7,DATE(2026,10,25)&lt;=R$6,DATE(2026,10,25)&gt;$C$7),1,0)</f>
        <v>0</v>
      </c>
      <c r="S24" s="102" t="n">
        <f aca="false">IF(AND(DATE(2026,10,25)&gt;=S$7,DATE(2026,10,25)&lt;=S$6,DATE(2026,10,25)&gt;$C$7),1,0)</f>
        <v>0</v>
      </c>
      <c r="T24" s="102" t="n">
        <f aca="false">IF(AND(DATE(2026,10,25)&gt;=T$7,DATE(2026,10,25)&lt;=T$6,DATE(2026,10,25)&gt;$C$7),1,0)</f>
        <v>0</v>
      </c>
      <c r="U24" s="102" t="n">
        <f aca="false">SUM(H24:T24)</f>
        <v>1</v>
      </c>
    </row>
    <row r="25" customFormat="false" ht="15" hidden="false" customHeight="false" outlineLevel="1" collapsed="false">
      <c r="A25" s="14" t="s">
        <v>595</v>
      </c>
      <c r="H25" s="102" t="n">
        <f aca="false">IF(AND(DATE(2026,11,25)&gt;=H$7,DATE(2026,11,25)&lt;=H$6,DATE(2026,11,25)&gt;$C$7),1,0)</f>
        <v>0</v>
      </c>
      <c r="I25" s="102" t="n">
        <f aca="false">IF(AND(DATE(2026,11,25)&gt;=I$7,DATE(2026,11,25)&lt;=I$6,DATE(2026,11,25)&gt;$C$7),1,0)</f>
        <v>0</v>
      </c>
      <c r="J25" s="102" t="n">
        <f aca="false">IF(AND(DATE(2026,11,25)&gt;=J$7,DATE(2026,11,25)&lt;=J$6,DATE(2026,11,25)&gt;$C$7),1,0)</f>
        <v>0</v>
      </c>
      <c r="K25" s="102" t="n">
        <f aca="false">IF(AND(DATE(2026,11,25)&gt;=K$7,DATE(2026,11,25)&lt;=K$6,DATE(2026,11,25)&gt;$C$7),1,0)</f>
        <v>0</v>
      </c>
      <c r="L25" s="102" t="n">
        <f aca="false">IF(AND(DATE(2026,11,25)&gt;=L$7,DATE(2026,11,25)&lt;=L$6,DATE(2026,11,25)&gt;$C$7),1,0)</f>
        <v>0</v>
      </c>
      <c r="M25" s="102" t="n">
        <f aca="false">IF(AND(DATE(2026,11,25)&gt;=M$7,DATE(2026,11,25)&lt;=M$6,DATE(2026,11,25)&gt;$C$7),1,0)</f>
        <v>0</v>
      </c>
      <c r="N25" s="102" t="n">
        <f aca="false">IF(AND(DATE(2026,11,25)&gt;=N$7,DATE(2026,11,25)&lt;=N$6,DATE(2026,11,25)&gt;$C$7),1,0)</f>
        <v>0</v>
      </c>
      <c r="O25" s="102" t="n">
        <f aca="false">IF(AND(DATE(2026,11,25)&gt;=O$7,DATE(2026,11,25)&lt;=O$6,DATE(2026,11,25)&gt;$C$7),1,0)</f>
        <v>0</v>
      </c>
      <c r="P25" s="102" t="n">
        <f aca="false">IF(AND(DATE(2026,11,25)&gt;=P$7,DATE(2026,11,25)&lt;=P$6,DATE(2026,11,25)&gt;$C$7),1,0)</f>
        <v>0</v>
      </c>
      <c r="Q25" s="102" t="n">
        <f aca="false">IF(AND(DATE(2026,11,25)&gt;=Q$7,DATE(2026,11,25)&lt;=Q$6,DATE(2026,11,25)&gt;$C$7),1,0)</f>
        <v>0</v>
      </c>
      <c r="R25" s="102" t="n">
        <f aca="false">IF(AND(DATE(2026,11,25)&gt;=R$7,DATE(2026,11,25)&lt;=R$6,DATE(2026,11,25)&gt;$C$7),1,0)</f>
        <v>1</v>
      </c>
      <c r="S25" s="102" t="n">
        <f aca="false">IF(AND(DATE(2026,11,25)&gt;=S$7,DATE(2026,11,25)&lt;=S$6,DATE(2026,11,25)&gt;$C$7),1,0)</f>
        <v>0</v>
      </c>
      <c r="T25" s="102" t="n">
        <f aca="false">IF(AND(DATE(2026,11,25)&gt;=T$7,DATE(2026,11,25)&lt;=T$6,DATE(2026,11,25)&gt;$C$7),1,0)</f>
        <v>0</v>
      </c>
      <c r="U25" s="102" t="n">
        <f aca="false">SUM(H25:T25)</f>
        <v>1</v>
      </c>
    </row>
    <row r="26" customFormat="false" ht="15" hidden="false" customHeight="false" outlineLevel="1" collapsed="false">
      <c r="A26" s="14" t="s">
        <v>596</v>
      </c>
      <c r="H26" s="102" t="n">
        <f aca="false">IF(AND(DATE(2026,12,25)&gt;=H$7,DATE(2026,12,25)&lt;=H$6,DATE(2026,12,25)&gt;$C$7),1,0)</f>
        <v>0</v>
      </c>
      <c r="I26" s="102" t="n">
        <f aca="false">IF(AND(DATE(2026,12,25)&gt;=I$7,DATE(2026,12,25)&lt;=I$6,DATE(2026,12,25)&gt;$C$7),1,0)</f>
        <v>0</v>
      </c>
      <c r="J26" s="102" t="n">
        <f aca="false">IF(AND(DATE(2026,12,25)&gt;=J$7,DATE(2026,12,25)&lt;=J$6,DATE(2026,12,25)&gt;$C$7),1,0)</f>
        <v>0</v>
      </c>
      <c r="K26" s="102" t="n">
        <f aca="false">IF(AND(DATE(2026,12,25)&gt;=K$7,DATE(2026,12,25)&lt;=K$6,DATE(2026,12,25)&gt;$C$7),1,0)</f>
        <v>0</v>
      </c>
      <c r="L26" s="102" t="n">
        <f aca="false">IF(AND(DATE(2026,12,25)&gt;=L$7,DATE(2026,12,25)&lt;=L$6,DATE(2026,12,25)&gt;$C$7),1,0)</f>
        <v>0</v>
      </c>
      <c r="M26" s="102" t="n">
        <f aca="false">IF(AND(DATE(2026,12,25)&gt;=M$7,DATE(2026,12,25)&lt;=M$6,DATE(2026,12,25)&gt;$C$7),1,0)</f>
        <v>0</v>
      </c>
      <c r="N26" s="102" t="n">
        <f aca="false">IF(AND(DATE(2026,12,25)&gt;=N$7,DATE(2026,12,25)&lt;=N$6,DATE(2026,12,25)&gt;$C$7),1,0)</f>
        <v>0</v>
      </c>
      <c r="O26" s="102" t="n">
        <f aca="false">IF(AND(DATE(2026,12,25)&gt;=O$7,DATE(2026,12,25)&lt;=O$6,DATE(2026,12,25)&gt;$C$7),1,0)</f>
        <v>0</v>
      </c>
      <c r="P26" s="102" t="n">
        <f aca="false">IF(AND(DATE(2026,12,25)&gt;=P$7,DATE(2026,12,25)&lt;=P$6,DATE(2026,12,25)&gt;$C$7),1,0)</f>
        <v>0</v>
      </c>
      <c r="Q26" s="102" t="n">
        <f aca="false">IF(AND(DATE(2026,12,25)&gt;=Q$7,DATE(2026,12,25)&lt;=Q$6,DATE(2026,12,25)&gt;$C$7),1,0)</f>
        <v>0</v>
      </c>
      <c r="R26" s="102" t="n">
        <f aca="false">IF(AND(DATE(2026,12,25)&gt;=R$7,DATE(2026,12,25)&lt;=R$6,DATE(2026,12,25)&gt;$C$7),1,0)</f>
        <v>0</v>
      </c>
      <c r="S26" s="102" t="n">
        <f aca="false">IF(AND(DATE(2026,12,25)&gt;=S$7,DATE(2026,12,25)&lt;=S$6,DATE(2026,12,25)&gt;$C$7),1,0)</f>
        <v>0</v>
      </c>
      <c r="T26" s="102" t="n">
        <f aca="false">IF(AND(DATE(2026,12,25)&gt;=T$7,DATE(2026,12,25)&lt;=T$6,DATE(2026,12,25)&gt;$C$7),1,0)</f>
        <v>0</v>
      </c>
      <c r="U26" s="102" t="n">
        <f aca="false">SUM(H26:T26)</f>
        <v>0</v>
      </c>
    </row>
    <row r="27" customFormat="false" ht="15" hidden="false" customHeight="false" outlineLevel="1" collapsed="false">
      <c r="A27" s="14" t="s">
        <v>597</v>
      </c>
      <c r="H27" s="102" t="n">
        <f aca="false">IF(AND(Assumptions!M$98&gt;=H$7,Assumptions!M$98&lt;=H$6,Assumptions!M$98&gt;$C$7),1,0)</f>
        <v>0</v>
      </c>
      <c r="I27" s="102" t="n">
        <f aca="false">IF(AND(Assumptions!M$98&gt;=I$7,Assumptions!M$98&lt;=I$6,Assumptions!M$98&gt;$C$7),1,0)</f>
        <v>0</v>
      </c>
      <c r="J27" s="102" t="n">
        <f aca="false">IF(AND(Assumptions!M$98&gt;=J$7,Assumptions!M$98&lt;=J$6,Assumptions!M$98&gt;$C$7),1,0)</f>
        <v>1</v>
      </c>
      <c r="K27" s="102" t="n">
        <f aca="false">IF(AND(Assumptions!M$98&gt;=K$7,Assumptions!M$98&lt;=K$6,Assumptions!M$98&gt;$C$7),1,0)</f>
        <v>0</v>
      </c>
      <c r="L27" s="102" t="n">
        <f aca="false">IF(AND(Assumptions!M$98&gt;=L$7,Assumptions!M$98&lt;=L$6,Assumptions!M$98&gt;$C$7),1,0)</f>
        <v>0</v>
      </c>
      <c r="M27" s="102" t="n">
        <f aca="false">IF(AND(Assumptions!M$98&gt;=M$7,Assumptions!M$98&lt;=M$6,Assumptions!M$98&gt;$C$7),1,0)</f>
        <v>0</v>
      </c>
      <c r="N27" s="102" t="n">
        <f aca="false">IF(AND(Assumptions!M$98&gt;=N$7,Assumptions!M$98&lt;=N$6,Assumptions!M$98&gt;$C$7),1,0)</f>
        <v>0</v>
      </c>
      <c r="O27" s="102" t="n">
        <f aca="false">IF(AND(Assumptions!M$98&gt;=O$7,Assumptions!M$98&lt;=O$6,Assumptions!M$98&gt;$C$7),1,0)</f>
        <v>0</v>
      </c>
      <c r="P27" s="102" t="n">
        <f aca="false">IF(AND(Assumptions!M$98&gt;=P$7,Assumptions!M$98&lt;=P$6,Assumptions!M$98&gt;$C$7),1,0)</f>
        <v>0</v>
      </c>
      <c r="Q27" s="102" t="n">
        <f aca="false">IF(AND(Assumptions!M$98&gt;=Q$7,Assumptions!M$98&lt;=Q$6,Assumptions!M$98&gt;$C$7),1,0)</f>
        <v>0</v>
      </c>
      <c r="R27" s="102" t="n">
        <f aca="false">IF(AND(Assumptions!M$98&gt;=R$7,Assumptions!M$98&lt;=R$6,Assumptions!M$98&gt;$C$7),1,0)</f>
        <v>0</v>
      </c>
      <c r="S27" s="102" t="n">
        <f aca="false">IF(AND(Assumptions!M$98&gt;=S$7,Assumptions!M$98&lt;=S$6,Assumptions!M$98&gt;$C$7),1,0)</f>
        <v>0</v>
      </c>
      <c r="T27" s="102" t="n">
        <f aca="false">IF(AND(Assumptions!M$98&gt;=T$7,Assumptions!M$98&lt;=T$6,Assumptions!M$98&gt;$C$7),1,0)</f>
        <v>0</v>
      </c>
      <c r="U27" s="102" t="n">
        <f aca="false">SUM(H27:T27)</f>
        <v>1</v>
      </c>
    </row>
    <row r="28" customFormat="false" ht="15" hidden="false" customHeight="false" outlineLevel="1" collapsed="false">
      <c r="A28" s="14" t="s">
        <v>598</v>
      </c>
      <c r="H28" s="102" t="n">
        <f aca="false">IF(AND(Assumptions!N$98&gt;=H$7,Assumptions!N$98&lt;=H$6,Assumptions!N$98&gt;$C$7),1,0)</f>
        <v>0</v>
      </c>
      <c r="I28" s="102" t="n">
        <f aca="false">IF(AND(Assumptions!N$98&gt;=I$7,Assumptions!N$98&lt;=I$6,Assumptions!N$98&gt;$C$7),1,0)</f>
        <v>0</v>
      </c>
      <c r="J28" s="102" t="n">
        <f aca="false">IF(AND(Assumptions!N$98&gt;=J$7,Assumptions!N$98&lt;=J$6,Assumptions!N$98&gt;$C$7),1,0)</f>
        <v>0</v>
      </c>
      <c r="K28" s="102" t="n">
        <f aca="false">IF(AND(Assumptions!N$98&gt;=K$7,Assumptions!N$98&lt;=K$6,Assumptions!N$98&gt;$C$7),1,0)</f>
        <v>0</v>
      </c>
      <c r="L28" s="102" t="n">
        <f aca="false">IF(AND(Assumptions!N$98&gt;=L$7,Assumptions!N$98&lt;=L$6,Assumptions!N$98&gt;$C$7),1,0)</f>
        <v>0</v>
      </c>
      <c r="M28" s="102" t="n">
        <f aca="false">IF(AND(Assumptions!N$98&gt;=M$7,Assumptions!N$98&lt;=M$6,Assumptions!N$98&gt;$C$7),1,0)</f>
        <v>0</v>
      </c>
      <c r="N28" s="102" t="n">
        <f aca="false">IF(AND(Assumptions!N$98&gt;=N$7,Assumptions!N$98&lt;=N$6,Assumptions!N$98&gt;$C$7),1,0)</f>
        <v>0</v>
      </c>
      <c r="O28" s="102" t="n">
        <f aca="false">IF(AND(Assumptions!N$98&gt;=O$7,Assumptions!N$98&lt;=O$6,Assumptions!N$98&gt;$C$7),1,0)</f>
        <v>1</v>
      </c>
      <c r="P28" s="102" t="n">
        <f aca="false">IF(AND(Assumptions!N$98&gt;=P$7,Assumptions!N$98&lt;=P$6,Assumptions!N$98&gt;$C$7),1,0)</f>
        <v>0</v>
      </c>
      <c r="Q28" s="102" t="n">
        <f aca="false">IF(AND(Assumptions!N$98&gt;=Q$7,Assumptions!N$98&lt;=Q$6,Assumptions!N$98&gt;$C$7),1,0)</f>
        <v>0</v>
      </c>
      <c r="R28" s="102" t="n">
        <f aca="false">IF(AND(Assumptions!N$98&gt;=R$7,Assumptions!N$98&lt;=R$6,Assumptions!N$98&gt;$C$7),1,0)</f>
        <v>0</v>
      </c>
      <c r="S28" s="102" t="n">
        <f aca="false">IF(AND(Assumptions!N$98&gt;=S$7,Assumptions!N$98&lt;=S$6,Assumptions!N$98&gt;$C$7),1,0)</f>
        <v>0</v>
      </c>
      <c r="T28" s="102" t="n">
        <f aca="false">IF(AND(Assumptions!N$98&gt;=T$7,Assumptions!N$98&lt;=T$6,Assumptions!N$98&gt;$C$7),1,0)</f>
        <v>0</v>
      </c>
      <c r="U28" s="102" t="n">
        <f aca="false">SUM(H28:T28)</f>
        <v>1</v>
      </c>
    </row>
    <row r="29" customFormat="false" ht="15" hidden="false" customHeight="false" outlineLevel="1" collapsed="false">
      <c r="A29" s="14" t="s">
        <v>599</v>
      </c>
      <c r="H29" s="102" t="n">
        <f aca="false">IF(AND(Assumptions!O$98&gt;=H$7,Assumptions!O$98&lt;=H$6,Assumptions!O$98&gt;$C$7),1,0)</f>
        <v>0</v>
      </c>
      <c r="I29" s="102" t="n">
        <f aca="false">IF(AND(Assumptions!O$98&gt;=I$7,Assumptions!O$98&lt;=I$6,Assumptions!O$98&gt;$C$7),1,0)</f>
        <v>0</v>
      </c>
      <c r="J29" s="102" t="n">
        <f aca="false">IF(AND(Assumptions!O$98&gt;=J$7,Assumptions!O$98&lt;=J$6,Assumptions!O$98&gt;$C$7),1,0)</f>
        <v>0</v>
      </c>
      <c r="K29" s="102" t="n">
        <f aca="false">IF(AND(Assumptions!O$98&gt;=K$7,Assumptions!O$98&lt;=K$6,Assumptions!O$98&gt;$C$7),1,0)</f>
        <v>0</v>
      </c>
      <c r="L29" s="102" t="n">
        <f aca="false">IF(AND(Assumptions!O$98&gt;=L$7,Assumptions!O$98&lt;=L$6,Assumptions!O$98&gt;$C$7),1,0)</f>
        <v>0</v>
      </c>
      <c r="M29" s="102" t="n">
        <f aca="false">IF(AND(Assumptions!O$98&gt;=M$7,Assumptions!O$98&lt;=M$6,Assumptions!O$98&gt;$C$7),1,0)</f>
        <v>0</v>
      </c>
      <c r="N29" s="102" t="n">
        <f aca="false">IF(AND(Assumptions!O$98&gt;=N$7,Assumptions!O$98&lt;=N$6,Assumptions!O$98&gt;$C$7),1,0)</f>
        <v>0</v>
      </c>
      <c r="O29" s="102" t="n">
        <f aca="false">IF(AND(Assumptions!O$98&gt;=O$7,Assumptions!O$98&lt;=O$6,Assumptions!O$98&gt;$C$7),1,0)</f>
        <v>0</v>
      </c>
      <c r="P29" s="102" t="n">
        <f aca="false">IF(AND(Assumptions!O$98&gt;=P$7,Assumptions!O$98&lt;=P$6,Assumptions!O$98&gt;$C$7),1,0)</f>
        <v>0</v>
      </c>
      <c r="Q29" s="102" t="n">
        <f aca="false">IF(AND(Assumptions!O$98&gt;=Q$7,Assumptions!O$98&lt;=Q$6,Assumptions!O$98&gt;$C$7),1,0)</f>
        <v>0</v>
      </c>
      <c r="R29" s="102" t="n">
        <f aca="false">IF(AND(Assumptions!O$98&gt;=R$7,Assumptions!O$98&lt;=R$6,Assumptions!O$98&gt;$C$7),1,0)</f>
        <v>0</v>
      </c>
      <c r="S29" s="102" t="n">
        <f aca="false">IF(AND(Assumptions!O$98&gt;=S$7,Assumptions!O$98&lt;=S$6,Assumptions!O$98&gt;$C$7),1,0)</f>
        <v>1</v>
      </c>
      <c r="T29" s="102" t="n">
        <f aca="false">IF(AND(Assumptions!O$98&gt;=T$7,Assumptions!O$98&lt;=T$6,Assumptions!O$98&gt;$C$7),1,0)</f>
        <v>0</v>
      </c>
      <c r="U29" s="102" t="n">
        <f aca="false">SUM(H29:T29)</f>
        <v>1</v>
      </c>
    </row>
    <row r="30" customFormat="false" ht="15" hidden="false" customHeight="false" outlineLevel="1" collapsed="false">
      <c r="A30" s="14" t="s">
        <v>600</v>
      </c>
      <c r="H30" s="102" t="n">
        <f aca="false">IF(AND(Assumptions!P$98&gt;=H$7,Assumptions!P$98&lt;=H$6,Assumptions!P$98&gt;$C$7),1,0)</f>
        <v>0</v>
      </c>
      <c r="I30" s="102" t="n">
        <f aca="false">IF(AND(Assumptions!P$98&gt;=I$7,Assumptions!P$98&lt;=I$6,Assumptions!P$98&gt;$C$7),1,0)</f>
        <v>0</v>
      </c>
      <c r="J30" s="102" t="n">
        <f aca="false">IF(AND(Assumptions!P$98&gt;=J$7,Assumptions!P$98&lt;=J$6,Assumptions!P$98&gt;$C$7),1,0)</f>
        <v>0</v>
      </c>
      <c r="K30" s="102" t="n">
        <f aca="false">IF(AND(Assumptions!P$98&gt;=K$7,Assumptions!P$98&lt;=K$6,Assumptions!P$98&gt;$C$7),1,0)</f>
        <v>0</v>
      </c>
      <c r="L30" s="102" t="n">
        <f aca="false">IF(AND(Assumptions!P$98&gt;=L$7,Assumptions!P$98&lt;=L$6,Assumptions!P$98&gt;$C$7),1,0)</f>
        <v>0</v>
      </c>
      <c r="M30" s="102" t="n">
        <f aca="false">IF(AND(Assumptions!P$98&gt;=M$7,Assumptions!P$98&lt;=M$6,Assumptions!P$98&gt;$C$7),1,0)</f>
        <v>0</v>
      </c>
      <c r="N30" s="102" t="n">
        <f aca="false">IF(AND(Assumptions!P$98&gt;=N$7,Assumptions!P$98&lt;=N$6,Assumptions!P$98&gt;$C$7),1,0)</f>
        <v>0</v>
      </c>
      <c r="O30" s="102" t="n">
        <f aca="false">IF(AND(Assumptions!P$98&gt;=O$7,Assumptions!P$98&lt;=O$6,Assumptions!P$98&gt;$C$7),1,0)</f>
        <v>0</v>
      </c>
      <c r="P30" s="102" t="n">
        <f aca="false">IF(AND(Assumptions!P$98&gt;=P$7,Assumptions!P$98&lt;=P$6,Assumptions!P$98&gt;$C$7),1,0)</f>
        <v>0</v>
      </c>
      <c r="Q30" s="102" t="n">
        <f aca="false">IF(AND(Assumptions!P$98&gt;=Q$7,Assumptions!P$98&lt;=Q$6,Assumptions!P$98&gt;$C$7),1,0)</f>
        <v>0</v>
      </c>
      <c r="R30" s="102" t="n">
        <f aca="false">IF(AND(Assumptions!P$98&gt;=R$7,Assumptions!P$98&lt;=R$6,Assumptions!P$98&gt;$C$7),1,0)</f>
        <v>0</v>
      </c>
      <c r="S30" s="102" t="n">
        <f aca="false">IF(AND(Assumptions!P$98&gt;=S$7,Assumptions!P$98&lt;=S$6,Assumptions!P$98&gt;$C$7),1,0)</f>
        <v>0</v>
      </c>
      <c r="T30" s="102" t="n">
        <f aca="false">IF(AND(Assumptions!P$98&gt;=T$7,Assumptions!P$98&lt;=T$6,Assumptions!P$98&gt;$C$7),1,0)</f>
        <v>0</v>
      </c>
      <c r="U30" s="102" t="n">
        <f aca="false">SUM(H30:T30)</f>
        <v>0</v>
      </c>
    </row>
    <row r="32" customFormat="false" ht="15" hidden="false" customHeight="false" outlineLevel="0" collapsed="false">
      <c r="A32" s="22" t="s">
        <v>601</v>
      </c>
      <c r="B32" s="23"/>
      <c r="C32" s="23"/>
      <c r="D32" s="23"/>
      <c r="E32" s="23"/>
      <c r="F32" s="23"/>
      <c r="G32" s="23"/>
      <c r="H32" s="23"/>
      <c r="I32" s="23"/>
      <c r="J32" s="23"/>
      <c r="K32" s="23"/>
      <c r="L32" s="23"/>
      <c r="M32" s="23"/>
      <c r="N32" s="23"/>
      <c r="O32" s="23"/>
      <c r="P32" s="23"/>
      <c r="Q32" s="23"/>
      <c r="R32" s="23"/>
      <c r="S32" s="23"/>
      <c r="T32" s="23"/>
      <c r="U32" s="23"/>
      <c r="V32" s="23"/>
      <c r="W32" s="23"/>
    </row>
    <row r="33" customFormat="false" ht="15" hidden="false" customHeight="false" outlineLevel="0" collapsed="false">
      <c r="A33" s="28" t="s">
        <v>602</v>
      </c>
      <c r="B33" s="58" t="s">
        <v>603</v>
      </c>
      <c r="C33" s="103" t="n">
        <v>67156</v>
      </c>
      <c r="D33" s="60" t="n">
        <f aca="false">FX!M38</f>
        <v>183153.174504951</v>
      </c>
      <c r="E33" s="60" t="n">
        <f aca="false">FX!N38</f>
        <v>285898.579249434</v>
      </c>
      <c r="F33" s="60" t="n">
        <f aca="false">FX!O38</f>
        <v>244862.947143956</v>
      </c>
      <c r="G33" s="60" t="n">
        <f aca="false">FX!P38</f>
        <v>253377.907068729</v>
      </c>
      <c r="H33" s="71" t="n">
        <f aca="false">(D33-$C33)*H$11+E33*H$12+F33*H$13+G33*H$14</f>
        <v>42735.8011334028</v>
      </c>
      <c r="I33" s="71" t="n">
        <f aca="false">(D33-$C33)*I$11+E33*I$12+F33*I$13+G33*I$14</f>
        <v>42735.8011334028</v>
      </c>
      <c r="J33" s="71" t="n">
        <f aca="false">(D33-$C33)*J$11+E33*J$12+F33*J$13+G33*J$14</f>
        <v>48970.6418671406</v>
      </c>
      <c r="K33" s="71" t="n">
        <f aca="false">(D33-$C33)*K$11+E33*K$12+F33*K$13+G33*K$14</f>
        <v>64557.7437014852</v>
      </c>
      <c r="L33" s="71" t="n">
        <f aca="false">(D33-$C33)*L$11+E33*L$12+F33*L$13+G33*L$14</f>
        <v>64557.7437014852</v>
      </c>
      <c r="M33" s="71" t="n">
        <f aca="false">(D33-$C33)*M$11+E33*M$12+F33*M$13+G33*M$14</f>
        <v>64557.7437014852</v>
      </c>
      <c r="N33" s="71" t="n">
        <f aca="false">(D33-$C33)*N$11+E33*N$12+F33*N$13+G33*N$14</f>
        <v>64557.7437014852</v>
      </c>
      <c r="O33" s="71" t="n">
        <f aca="false">(D33-$C33)*O$11+E33*O$12+F33*O$13+G33*O$14</f>
        <v>58195.1242432891</v>
      </c>
      <c r="P33" s="71" t="n">
        <f aca="false">(D33-$C33)*P$11+E33*P$12+F33*P$13+G33*P$14</f>
        <v>57134.6876669231</v>
      </c>
      <c r="Q33" s="71" t="n">
        <f aca="false">(D33-$C33)*Q$11+E33*Q$12+F33*Q$13+G33*Q$14</f>
        <v>57134.6876669231</v>
      </c>
      <c r="R33" s="71" t="n">
        <f aca="false">(D33-$C33)*R$11+E33*R$12+F33*R$13+G33*R$14</f>
        <v>57134.6876669231</v>
      </c>
      <c r="S33" s="71" t="n">
        <f aca="false">(D33-$C33)*S$11+E33*S$12+F33*S$13+G33*S$14</f>
        <v>57180.2182071349</v>
      </c>
      <c r="T33" s="71" t="n">
        <f aca="false">(D33-$C33)*T$11+E33*T$12+F33*T$13+G33*T$14</f>
        <v>57214.3661122937</v>
      </c>
      <c r="U33" s="59" t="n">
        <f aca="false">SUM(H33:T33)</f>
        <v>736666.990503374</v>
      </c>
      <c r="V33" s="104" t="n">
        <f aca="false">SUM(H$14:T$14)</f>
        <v>0.354838709677419</v>
      </c>
      <c r="W33" s="29" t="n">
        <f aca="false">G33*(1-V33)</f>
        <v>163469.617463696</v>
      </c>
    </row>
    <row r="34" customFormat="false" ht="15" hidden="false" customHeight="false" outlineLevel="0" collapsed="false">
      <c r="A34" s="28" t="s">
        <v>604</v>
      </c>
      <c r="B34" s="58" t="s">
        <v>603</v>
      </c>
      <c r="C34" s="103" t="n">
        <v>44697</v>
      </c>
      <c r="D34" s="60" t="n">
        <f aca="false">FX!M54</f>
        <v>121900.448430493</v>
      </c>
      <c r="E34" s="60" t="n">
        <f aca="false">FX!N54</f>
        <v>139882.959641256</v>
      </c>
      <c r="F34" s="60" t="n">
        <f aca="false">FX!O54</f>
        <v>181821.86961021</v>
      </c>
      <c r="G34" s="60" t="n">
        <f aca="false">FX!P54</f>
        <v>196859.589513625</v>
      </c>
      <c r="H34" s="71" t="n">
        <f aca="false">(D34-$C34)*H$11+E34*H$12+F34*H$13+G34*H$14</f>
        <v>28443.3757375502</v>
      </c>
      <c r="I34" s="71" t="n">
        <f aca="false">(D34-$C34)*I$11+E34*I$12+F34*I$13+G34*I$14</f>
        <v>28443.3757375502</v>
      </c>
      <c r="J34" s="71" t="n">
        <f aca="false">(D34-$C34)*J$11+E34*J$12+F34*J$13+G34*J$14</f>
        <v>29341.4040290224</v>
      </c>
      <c r="K34" s="71" t="n">
        <f aca="false">(D34-$C34)*K$11+E34*K$12+F34*K$13+G34*K$14</f>
        <v>31586.4747577029</v>
      </c>
      <c r="L34" s="71" t="n">
        <f aca="false">(D34-$C34)*L$11+E34*L$12+F34*L$13+G34*L$14</f>
        <v>31586.4747577029</v>
      </c>
      <c r="M34" s="71" t="n">
        <f aca="false">(D34-$C34)*M$11+E34*M$12+F34*M$13+G34*M$14</f>
        <v>31586.4747577029</v>
      </c>
      <c r="N34" s="71" t="n">
        <f aca="false">(D34-$C34)*N$11+E34*N$12+F34*N$13+G34*N$14</f>
        <v>31586.4747577029</v>
      </c>
      <c r="O34" s="71" t="n">
        <f aca="false">(D34-$C34)*O$11+E34*O$12+F34*O$13+G34*O$14</f>
        <v>40876.7274588568</v>
      </c>
      <c r="P34" s="71" t="n">
        <f aca="false">(D34-$C34)*P$11+E34*P$12+F34*P$13+G34*P$14</f>
        <v>42425.1029090491</v>
      </c>
      <c r="Q34" s="71" t="n">
        <f aca="false">(D34-$C34)*Q$11+E34*Q$12+F34*Q$13+G34*Q$14</f>
        <v>42425.1029090491</v>
      </c>
      <c r="R34" s="71" t="n">
        <f aca="false">(D34-$C34)*R$11+E34*R$12+F34*R$13+G34*R$14</f>
        <v>42425.1029090491</v>
      </c>
      <c r="S34" s="71" t="n">
        <f aca="false">(D34-$C34)*S$11+E34*S$12+F34*S$13+G34*S$14</f>
        <v>43583.4243176179</v>
      </c>
      <c r="T34" s="71" t="n">
        <f aca="false">(D34-$C34)*T$11+E34*T$12+F34*T$13+G34*T$14</f>
        <v>44452.1653740444</v>
      </c>
      <c r="U34" s="59" t="n">
        <f aca="false">SUM(H34:T34)</f>
        <v>468761.680412601</v>
      </c>
      <c r="V34" s="104" t="n">
        <f aca="false">SUM(H$14:T$14)</f>
        <v>0.354838709677419</v>
      </c>
      <c r="W34" s="29" t="n">
        <f aca="false">G34*(1-V34)</f>
        <v>127006.186782984</v>
      </c>
    </row>
    <row r="35" customFormat="false" ht="15" hidden="false" customHeight="false" outlineLevel="0" collapsed="false">
      <c r="A35" s="28" t="s">
        <v>605</v>
      </c>
      <c r="B35" s="58" t="s">
        <v>603</v>
      </c>
      <c r="C35" s="103" t="n">
        <v>71708</v>
      </c>
      <c r="D35" s="60" t="n">
        <f aca="false">FX!M22</f>
        <v>195566.814</v>
      </c>
      <c r="E35" s="60" t="n">
        <f aca="false">FX!N22</f>
        <v>181323.38476008</v>
      </c>
      <c r="F35" s="60" t="n">
        <f aca="false">FX!O22</f>
        <v>279754.281887273</v>
      </c>
      <c r="G35" s="60" t="n">
        <f aca="false">FX!P22</f>
        <v>208969.275453479</v>
      </c>
      <c r="H35" s="71" t="n">
        <f aca="false">(D35-$C35)*H$11+E35*H$12+F35*H$13+G35*H$14</f>
        <v>45632.194631579</v>
      </c>
      <c r="I35" s="71" t="n">
        <f aca="false">(D35-$C35)*I$11+E35*I$12+F35*I$13+G35*I$14</f>
        <v>45632.194631579</v>
      </c>
      <c r="J35" s="71" t="n">
        <f aca="false">(D35-$C35)*J$11+E35*J$12+F35*J$13+G35*J$14</f>
        <v>44292.7076245892</v>
      </c>
      <c r="K35" s="71" t="n">
        <f aca="false">(D35-$C35)*K$11+E35*K$12+F35*K$13+G35*K$14</f>
        <v>40943.9901071148</v>
      </c>
      <c r="L35" s="71" t="n">
        <f aca="false">(D35-$C35)*L$11+E35*L$12+F35*L$13+G35*L$14</f>
        <v>40943.9901071148</v>
      </c>
      <c r="M35" s="71" t="n">
        <f aca="false">(D35-$C35)*M$11+E35*M$12+F35*M$13+G35*M$14</f>
        <v>40943.9901071148</v>
      </c>
      <c r="N35" s="71" t="n">
        <f aca="false">(D35-$C35)*N$11+E35*N$12+F35*N$13+G35*N$14</f>
        <v>40943.9901071148</v>
      </c>
      <c r="O35" s="71" t="n">
        <f aca="false">(D35-$C35)*O$11+E35*O$12+F35*O$13+G35*O$14</f>
        <v>61799.9978213282</v>
      </c>
      <c r="P35" s="71" t="n">
        <f aca="false">(D35-$C35)*P$11+E35*P$12+F35*P$13+G35*P$14</f>
        <v>65275.9991070304</v>
      </c>
      <c r="Q35" s="71" t="n">
        <f aca="false">(D35-$C35)*Q$11+E35*Q$12+F35*Q$13+G35*Q$14</f>
        <v>65275.9991070304</v>
      </c>
      <c r="R35" s="71" t="n">
        <f aca="false">(D35-$C35)*R$11+E35*R$12+F35*R$13+G35*R$14</f>
        <v>65275.9991070304</v>
      </c>
      <c r="S35" s="71" t="n">
        <f aca="false">(D35-$C35)*S$11+E35*S$12+F35*S$13+G35*S$14</f>
        <v>54939.2056665956</v>
      </c>
      <c r="T35" s="71" t="n">
        <f aca="false">(D35-$C35)*T$11+E35*T$12+F35*T$13+G35*T$14</f>
        <v>47186.6105862695</v>
      </c>
      <c r="U35" s="59" t="n">
        <f aca="false">SUM(H35:T35)</f>
        <v>659086.868711491</v>
      </c>
      <c r="V35" s="104" t="n">
        <f aca="false">SUM(H$14:T$14)</f>
        <v>0.354838709677419</v>
      </c>
      <c r="W35" s="29" t="n">
        <f aca="false">G35*(1-V35)</f>
        <v>134818.887389341</v>
      </c>
    </row>
    <row r="36" customFormat="false" ht="15" hidden="false" customHeight="false" outlineLevel="0" collapsed="false">
      <c r="A36" s="28" t="s">
        <v>606</v>
      </c>
      <c r="B36" s="58" t="s">
        <v>607</v>
      </c>
      <c r="C36" s="29" t="n">
        <f aca="false">D36</f>
        <v>3930.04512</v>
      </c>
      <c r="D36" s="60" t="n">
        <f aca="false">VAT!M23</f>
        <v>3930.04512</v>
      </c>
      <c r="E36" s="60" t="n">
        <f aca="false">VAT!N23</f>
        <v>144.491999999998</v>
      </c>
      <c r="F36" s="60" t="n">
        <f aca="false">VAT!O23</f>
        <v>-0</v>
      </c>
      <c r="G36" s="60" t="n">
        <f aca="false">VAT!P23</f>
        <v>84.9808661902644</v>
      </c>
      <c r="H36" s="71" t="n">
        <f aca="false">(D36-$C36)*H$15+E36*H$16+F36*H$17+G36*H$18</f>
        <v>0</v>
      </c>
      <c r="I36" s="71" t="n">
        <f aca="false">(D36-$C36)*I$15+E36*I$16+F36*I$17+G36*I$18</f>
        <v>0</v>
      </c>
      <c r="J36" s="71" t="n">
        <f aca="false">(D36-$C36)*J$15+E36*J$16+F36*J$17+G36*J$18</f>
        <v>0</v>
      </c>
      <c r="K36" s="71" t="n">
        <f aca="false">(D36-$C36)*K$15+E36*K$16+F36*K$17+G36*K$18</f>
        <v>0</v>
      </c>
      <c r="L36" s="71" t="n">
        <f aca="false">(D36-$C36)*L$15+E36*L$16+F36*L$17+G36*L$18</f>
        <v>144.491999999998</v>
      </c>
      <c r="M36" s="71" t="n">
        <f aca="false">(D36-$C36)*M$15+E36*M$16+F36*M$17+G36*M$18</f>
        <v>0</v>
      </c>
      <c r="N36" s="71" t="n">
        <f aca="false">(D36-$C36)*N$15+E36*N$16+F36*N$17+G36*N$18</f>
        <v>0</v>
      </c>
      <c r="O36" s="71" t="n">
        <f aca="false">(D36-$C36)*O$15+E36*O$16+F36*O$17+G36*O$18</f>
        <v>0</v>
      </c>
      <c r="P36" s="71" t="n">
        <f aca="false">(D36-$C36)*P$15+E36*P$16+F36*P$17+G36*P$18</f>
        <v>0</v>
      </c>
      <c r="Q36" s="71" t="n">
        <f aca="false">(D36-$C36)*Q$15+E36*Q$16+F36*Q$17+G36*Q$18</f>
        <v>0</v>
      </c>
      <c r="R36" s="71" t="n">
        <f aca="false">(D36-$C36)*R$15+E36*R$16+F36*R$17+G36*R$18</f>
        <v>0</v>
      </c>
      <c r="S36" s="71" t="n">
        <f aca="false">(D36-$C36)*S$15+E36*S$16+F36*S$17+G36*S$18</f>
        <v>0</v>
      </c>
      <c r="T36" s="71" t="n">
        <f aca="false">(D36-$C36)*T$15+E36*T$16+F36*T$17+G36*T$18</f>
        <v>84.9808661902644</v>
      </c>
      <c r="U36" s="59" t="n">
        <f aca="false">SUM(H36:T36)</f>
        <v>229.472866190263</v>
      </c>
      <c r="V36" s="104" t="n">
        <f aca="false">SUM(H$18:T$18)</f>
        <v>1</v>
      </c>
      <c r="W36" s="29" t="n">
        <f aca="false">G36*(1-V36)</f>
        <v>0</v>
      </c>
    </row>
    <row r="37" customFormat="false" ht="15" hidden="false" customHeight="false" outlineLevel="0" collapsed="false">
      <c r="A37" s="73" t="s">
        <v>608</v>
      </c>
      <c r="B37" s="105" t="s">
        <v>609</v>
      </c>
      <c r="C37" s="106" t="n">
        <f aca="false">C33+C34+C35+C36</f>
        <v>187491.04512</v>
      </c>
      <c r="D37" s="107" t="n">
        <f aca="false">D33+D34+D35+D36</f>
        <v>504550.482055444</v>
      </c>
      <c r="E37" s="107" t="n">
        <f aca="false">E33+E34+E35+E36</f>
        <v>607249.41565077</v>
      </c>
      <c r="F37" s="107" t="n">
        <f aca="false">F33+F34+F35+F36</f>
        <v>706439.09864144</v>
      </c>
      <c r="G37" s="107" t="n">
        <f aca="false">G33+G34+G35+G36</f>
        <v>659291.752902024</v>
      </c>
      <c r="H37" s="70" t="n">
        <f aca="false">H33+H34+H35+H36</f>
        <v>116811.371502532</v>
      </c>
      <c r="I37" s="70" t="n">
        <f aca="false">I33+I34+I35+I36</f>
        <v>116811.371502532</v>
      </c>
      <c r="J37" s="70" t="n">
        <f aca="false">J33+J34+J35+J36</f>
        <v>122604.753520752</v>
      </c>
      <c r="K37" s="70" t="n">
        <f aca="false">K33+K34+K35+K36</f>
        <v>137088.208566303</v>
      </c>
      <c r="L37" s="70" t="n">
        <f aca="false">L33+L34+L35+L36</f>
        <v>137232.700566303</v>
      </c>
      <c r="M37" s="70" t="n">
        <f aca="false">M33+M34+M35+M36</f>
        <v>137088.208566303</v>
      </c>
      <c r="N37" s="70" t="n">
        <f aca="false">N33+N34+N35+N36</f>
        <v>137088.208566303</v>
      </c>
      <c r="O37" s="70" t="n">
        <f aca="false">O33+O34+O35+O36</f>
        <v>160871.849523474</v>
      </c>
      <c r="P37" s="70" t="n">
        <f aca="false">P33+P34+P35+P36</f>
        <v>164835.789683003</v>
      </c>
      <c r="Q37" s="70" t="n">
        <f aca="false">Q33+Q34+Q35+Q36</f>
        <v>164835.789683003</v>
      </c>
      <c r="R37" s="70" t="n">
        <f aca="false">R33+R34+R35+R36</f>
        <v>164835.789683003</v>
      </c>
      <c r="S37" s="70" t="n">
        <f aca="false">S33+S34+S35+S36</f>
        <v>155702.848191348</v>
      </c>
      <c r="T37" s="70" t="n">
        <f aca="false">T33+T34+T35+T36</f>
        <v>148938.122938798</v>
      </c>
      <c r="U37" s="70" t="n">
        <f aca="false">SUM(H37:T37)</f>
        <v>1864745.01249366</v>
      </c>
      <c r="V37" s="76"/>
      <c r="W37" s="76"/>
    </row>
    <row r="38" customFormat="false" ht="15" hidden="false" customHeight="false" outlineLevel="0" collapsed="false">
      <c r="A38" s="22" t="s">
        <v>610</v>
      </c>
      <c r="B38" s="23"/>
      <c r="C38" s="23"/>
      <c r="D38" s="23"/>
      <c r="E38" s="23"/>
      <c r="F38" s="23"/>
      <c r="G38" s="23"/>
      <c r="H38" s="23"/>
      <c r="I38" s="23"/>
      <c r="J38" s="23"/>
      <c r="K38" s="23"/>
      <c r="L38" s="23"/>
      <c r="M38" s="23"/>
      <c r="N38" s="23"/>
      <c r="O38" s="23"/>
      <c r="P38" s="23"/>
      <c r="Q38" s="23"/>
      <c r="R38" s="23"/>
      <c r="S38" s="23"/>
      <c r="T38" s="23"/>
      <c r="U38" s="23"/>
      <c r="V38" s="23"/>
      <c r="W38" s="23"/>
    </row>
    <row r="39" customFormat="false" ht="15" hidden="false" customHeight="false" outlineLevel="0" collapsed="false">
      <c r="A39" s="28" t="s">
        <v>611</v>
      </c>
      <c r="B39" s="58" t="s">
        <v>612</v>
      </c>
      <c r="C39" s="29" t="n">
        <v>0</v>
      </c>
      <c r="D39" s="60" t="n">
        <f aca="false">-People!M45</f>
        <v>-126234.392</v>
      </c>
      <c r="E39" s="60" t="n">
        <f aca="false">-People!N45</f>
        <v>-130072.8</v>
      </c>
      <c r="F39" s="60" t="n">
        <f aca="false">-People!O45</f>
        <v>-133008.904</v>
      </c>
      <c r="G39" s="60" t="n">
        <f aca="false">-People!P45</f>
        <v>-133008.904</v>
      </c>
      <c r="H39" s="71" t="n">
        <f aca="false">(D39-$C39)*H$27+E39*H$28+F39*H$29+G39*H$30</f>
        <v>-0</v>
      </c>
      <c r="I39" s="71" t="n">
        <f aca="false">(D39-$C39)*I$27+E39*I$28+F39*I$29+G39*I$30</f>
        <v>-0</v>
      </c>
      <c r="J39" s="71" t="n">
        <f aca="false">(D39-$C39)*J$27+E39*J$28+F39*J$29+G39*J$30</f>
        <v>-126234.392</v>
      </c>
      <c r="K39" s="71" t="n">
        <f aca="false">(D39-$C39)*K$27+E39*K$28+F39*K$29+G39*K$30</f>
        <v>-0</v>
      </c>
      <c r="L39" s="71" t="n">
        <f aca="false">(D39-$C39)*L$27+E39*L$28+F39*L$29+G39*L$30</f>
        <v>-0</v>
      </c>
      <c r="M39" s="71" t="n">
        <f aca="false">(D39-$C39)*M$27+E39*M$28+F39*M$29+G39*M$30</f>
        <v>-0</v>
      </c>
      <c r="N39" s="71" t="n">
        <f aca="false">(D39-$C39)*N$27+E39*N$28+F39*N$29+G39*N$30</f>
        <v>-0</v>
      </c>
      <c r="O39" s="71" t="n">
        <f aca="false">(D39-$C39)*O$27+E39*O$28+F39*O$29+G39*O$30</f>
        <v>-130072.8</v>
      </c>
      <c r="P39" s="71" t="n">
        <f aca="false">(D39-$C39)*P$27+E39*P$28+F39*P$29+G39*P$30</f>
        <v>-0</v>
      </c>
      <c r="Q39" s="71" t="n">
        <f aca="false">(D39-$C39)*Q$27+E39*Q$28+F39*Q$29+G39*Q$30</f>
        <v>-0</v>
      </c>
      <c r="R39" s="71" t="n">
        <f aca="false">(D39-$C39)*R$27+E39*R$28+F39*R$29+G39*R$30</f>
        <v>-0</v>
      </c>
      <c r="S39" s="71" t="n">
        <f aca="false">(D39-$C39)*S$27+E39*S$28+F39*S$29+G39*S$30</f>
        <v>-133008.904</v>
      </c>
      <c r="T39" s="71" t="n">
        <f aca="false">(D39-$C39)*T$27+E39*T$28+F39*T$29+G39*T$30</f>
        <v>-0</v>
      </c>
      <c r="U39" s="59" t="n">
        <f aca="false">SUM(H39:T39)</f>
        <v>-389316.096</v>
      </c>
      <c r="V39" s="104" t="n">
        <f aca="false">SUM(H$30:T$30)</f>
        <v>0</v>
      </c>
      <c r="W39" s="29" t="n">
        <f aca="false">G39*(1-V39)</f>
        <v>-133008.904</v>
      </c>
    </row>
    <row r="40" customFormat="false" ht="15" hidden="false" customHeight="false" outlineLevel="0" collapsed="false">
      <c r="A40" s="28" t="s">
        <v>613</v>
      </c>
      <c r="B40" s="58" t="s">
        <v>612</v>
      </c>
      <c r="C40" s="29" t="n">
        <v>0</v>
      </c>
      <c r="D40" s="60" t="n">
        <f aca="false">-People!M46</f>
        <v>-0</v>
      </c>
      <c r="E40" s="60" t="n">
        <f aca="false">-People!N46</f>
        <v>-0</v>
      </c>
      <c r="F40" s="60" t="n">
        <f aca="false">-People!O46</f>
        <v>-0</v>
      </c>
      <c r="G40" s="60" t="n">
        <f aca="false">-People!P46</f>
        <v>-0</v>
      </c>
      <c r="H40" s="71" t="n">
        <f aca="false">(D40-$C40)*H$27+E40*H$28+F40*H$29+G40*H$30</f>
        <v>-0</v>
      </c>
      <c r="I40" s="71" t="n">
        <f aca="false">(D40-$C40)*I$27+E40*I$28+F40*I$29+G40*I$30</f>
        <v>-0</v>
      </c>
      <c r="J40" s="71" t="n">
        <f aca="false">(D40-$C40)*J$27+E40*J$28+F40*J$29+G40*J$30</f>
        <v>-0</v>
      </c>
      <c r="K40" s="71" t="n">
        <f aca="false">(D40-$C40)*K$27+E40*K$28+F40*K$29+G40*K$30</f>
        <v>-0</v>
      </c>
      <c r="L40" s="71" t="n">
        <f aca="false">(D40-$C40)*L$27+E40*L$28+F40*L$29+G40*L$30</f>
        <v>-0</v>
      </c>
      <c r="M40" s="71" t="n">
        <f aca="false">(D40-$C40)*M$27+E40*M$28+F40*M$29+G40*M$30</f>
        <v>-0</v>
      </c>
      <c r="N40" s="71" t="n">
        <f aca="false">(D40-$C40)*N$27+E40*N$28+F40*N$29+G40*N$30</f>
        <v>-0</v>
      </c>
      <c r="O40" s="71" t="n">
        <f aca="false">(D40-$C40)*O$27+E40*O$28+F40*O$29+G40*O$30</f>
        <v>-0</v>
      </c>
      <c r="P40" s="71" t="n">
        <f aca="false">(D40-$C40)*P$27+E40*P$28+F40*P$29+G40*P$30</f>
        <v>-0</v>
      </c>
      <c r="Q40" s="71" t="n">
        <f aca="false">(D40-$C40)*Q$27+E40*Q$28+F40*Q$29+G40*Q$30</f>
        <v>-0</v>
      </c>
      <c r="R40" s="71" t="n">
        <f aca="false">(D40-$C40)*R$27+E40*R$28+F40*R$29+G40*R$30</f>
        <v>-0</v>
      </c>
      <c r="S40" s="71" t="n">
        <f aca="false">(D40-$C40)*S$27+E40*S$28+F40*S$29+G40*S$30</f>
        <v>-0</v>
      </c>
      <c r="T40" s="71" t="n">
        <f aca="false">(D40-$C40)*T$27+E40*T$28+F40*T$29+G40*T$30</f>
        <v>-0</v>
      </c>
      <c r="U40" s="59" t="n">
        <f aca="false">SUM(H40:T40)</f>
        <v>0</v>
      </c>
      <c r="V40" s="104" t="n">
        <f aca="false">SUM(H$30:T$30)</f>
        <v>0</v>
      </c>
      <c r="W40" s="29" t="n">
        <f aca="false">G40*(1-V40)</f>
        <v>-0</v>
      </c>
    </row>
    <row r="41" customFormat="false" ht="15" hidden="false" customHeight="false" outlineLevel="0" collapsed="false">
      <c r="A41" s="28" t="s">
        <v>614</v>
      </c>
      <c r="B41" s="58" t="s">
        <v>607</v>
      </c>
      <c r="C41" s="29" t="n">
        <f aca="false">D41</f>
        <v>-89077.72192</v>
      </c>
      <c r="D41" s="60" t="n">
        <f aca="false">People!M43</f>
        <v>-89077.72192</v>
      </c>
      <c r="E41" s="60" t="n">
        <f aca="false">People!N43</f>
        <v>-87979.408</v>
      </c>
      <c r="F41" s="60" t="n">
        <f aca="false">People!O43</f>
        <v>-90697.2</v>
      </c>
      <c r="G41" s="60" t="n">
        <f aca="false">People!P43</f>
        <v>-92711.696</v>
      </c>
      <c r="H41" s="71" t="n">
        <f aca="false">(D41-$C41)*H$15+E41*H$16+F41*H$17+G41*H$18</f>
        <v>0</v>
      </c>
      <c r="I41" s="71" t="n">
        <f aca="false">(D41-$C41)*I$15+E41*I$16+F41*I$17+G41*I$18</f>
        <v>0</v>
      </c>
      <c r="J41" s="71" t="n">
        <f aca="false">(D41-$C41)*J$15+E41*J$16+F41*J$17+G41*J$18</f>
        <v>0</v>
      </c>
      <c r="K41" s="71" t="n">
        <f aca="false">(D41-$C41)*K$15+E41*K$16+F41*K$17+G41*K$18</f>
        <v>0</v>
      </c>
      <c r="L41" s="71" t="n">
        <f aca="false">(D41-$C41)*L$15+E41*L$16+F41*L$17+G41*L$18</f>
        <v>-87979.408</v>
      </c>
      <c r="M41" s="71" t="n">
        <f aca="false">(D41-$C41)*M$15+E41*M$16+F41*M$17+G41*M$18</f>
        <v>0</v>
      </c>
      <c r="N41" s="71" t="n">
        <f aca="false">(D41-$C41)*N$15+E41*N$16+F41*N$17+G41*N$18</f>
        <v>0</v>
      </c>
      <c r="O41" s="71" t="n">
        <f aca="false">(D41-$C41)*O$15+E41*O$16+F41*O$17+G41*O$18</f>
        <v>0</v>
      </c>
      <c r="P41" s="71" t="n">
        <f aca="false">(D41-$C41)*P$15+E41*P$16+F41*P$17+G41*P$18</f>
        <v>-90697.2</v>
      </c>
      <c r="Q41" s="71" t="n">
        <f aca="false">(D41-$C41)*Q$15+E41*Q$16+F41*Q$17+G41*Q$18</f>
        <v>0</v>
      </c>
      <c r="R41" s="71" t="n">
        <f aca="false">(D41-$C41)*R$15+E41*R$16+F41*R$17+G41*R$18</f>
        <v>0</v>
      </c>
      <c r="S41" s="71" t="n">
        <f aca="false">(D41-$C41)*S$15+E41*S$16+F41*S$17+G41*S$18</f>
        <v>0</v>
      </c>
      <c r="T41" s="71" t="n">
        <f aca="false">(D41-$C41)*T$15+E41*T$16+F41*T$17+G41*T$18</f>
        <v>-92711.696</v>
      </c>
      <c r="U41" s="59" t="n">
        <f aca="false">SUM(H41:T41)</f>
        <v>-271388.304</v>
      </c>
      <c r="V41" s="104" t="n">
        <f aca="false">SUM(H$18:T$18)</f>
        <v>1</v>
      </c>
      <c r="W41" s="29" t="n">
        <f aca="false">G41*(1-V41)</f>
        <v>-0</v>
      </c>
    </row>
    <row r="42" customFormat="false" ht="15" hidden="false" customHeight="false" outlineLevel="0" collapsed="false">
      <c r="A42" s="28" t="s">
        <v>615</v>
      </c>
      <c r="B42" s="58" t="s">
        <v>603</v>
      </c>
      <c r="C42" s="103" t="n">
        <v>-10818</v>
      </c>
      <c r="D42" s="60" t="n">
        <f aca="false">-Payables!M11</f>
        <v>-29504.0588422782</v>
      </c>
      <c r="E42" s="60" t="n">
        <f aca="false">-Payables!N11</f>
        <v>-10505.1199778898</v>
      </c>
      <c r="F42" s="60" t="n">
        <f aca="false">-Payables!O11</f>
        <v>-6028</v>
      </c>
      <c r="G42" s="60" t="n">
        <f aca="false">-Payables!P11</f>
        <v>-6028</v>
      </c>
      <c r="H42" s="71" t="n">
        <f aca="false">(D42-$C42)*H$11+E42*H$12+F42*H$13+G42*H$14</f>
        <v>-6884.33746820777</v>
      </c>
      <c r="I42" s="71" t="n">
        <f aca="false">(D42-$C42)*I$11+E42*I$12+F42*I$13+G42*I$14</f>
        <v>-6884.33746820777</v>
      </c>
      <c r="J42" s="71" t="n">
        <f aca="false">(D42-$C42)*J$11+E42*J$12+F42*J$13+G42*J$14</f>
        <v>-5595.13358185558</v>
      </c>
      <c r="K42" s="71" t="n">
        <f aca="false">(D42-$C42)*K$11+E42*K$12+F42*K$13+G42*K$14</f>
        <v>-2372.12386597511</v>
      </c>
      <c r="L42" s="71" t="n">
        <f aca="false">(D42-$C42)*L$11+E42*L$12+F42*L$13+G42*L$14</f>
        <v>-2372.12386597511</v>
      </c>
      <c r="M42" s="71" t="n">
        <f aca="false">(D42-$C42)*M$11+E42*M$12+F42*M$13+G42*M$14</f>
        <v>-2372.12386597511</v>
      </c>
      <c r="N42" s="71" t="n">
        <f aca="false">(D42-$C42)*N$11+E42*N$12+F42*N$13+G42*N$14</f>
        <v>-2372.12386597511</v>
      </c>
      <c r="O42" s="71" t="n">
        <f aca="false">(D42-$C42)*O$11+E42*O$12+F42*O$13+G42*O$14</f>
        <v>-1544.47483799644</v>
      </c>
      <c r="P42" s="71" t="n">
        <f aca="false">(D42-$C42)*P$11+E42*P$12+F42*P$13+G42*P$14</f>
        <v>-1406.53333333333</v>
      </c>
      <c r="Q42" s="71" t="n">
        <f aca="false">(D42-$C42)*Q$11+E42*Q$12+F42*Q$13+G42*Q$14</f>
        <v>-1406.53333333333</v>
      </c>
      <c r="R42" s="71" t="n">
        <f aca="false">(D42-$C42)*R$11+E42*R$12+F42*R$13+G42*R$14</f>
        <v>-1406.53333333333</v>
      </c>
      <c r="S42" s="71" t="n">
        <f aca="false">(D42-$C42)*S$11+E42*S$12+F42*S$13+G42*S$14</f>
        <v>-1380.6064516129</v>
      </c>
      <c r="T42" s="71" t="n">
        <f aca="false">(D42-$C42)*T$11+E42*T$12+F42*T$13+G42*T$14</f>
        <v>-1361.16129032258</v>
      </c>
      <c r="U42" s="59" t="n">
        <f aca="false">SUM(H42:T42)</f>
        <v>-37358.1465621035</v>
      </c>
      <c r="V42" s="104" t="n">
        <f aca="false">SUM(H$14:T$14)</f>
        <v>0.354838709677419</v>
      </c>
      <c r="W42" s="29" t="n">
        <f aca="false">G42*(1-V42)</f>
        <v>-3889.03225806452</v>
      </c>
    </row>
    <row r="43" customFormat="false" ht="15" hidden="false" customHeight="false" outlineLevel="0" collapsed="false">
      <c r="A43" s="28" t="s">
        <v>616</v>
      </c>
      <c r="B43" s="58" t="s">
        <v>617</v>
      </c>
      <c r="C43" s="29" t="n">
        <v>0</v>
      </c>
      <c r="D43" s="60" t="n">
        <f aca="false">-Payables!M16</f>
        <v>-235049.153180087</v>
      </c>
      <c r="E43" s="60" t="n">
        <f aca="false">-Payables!N16</f>
        <v>-233829.297282758</v>
      </c>
      <c r="F43" s="60" t="n">
        <f aca="false">-Payables!O16</f>
        <v>-257212.227011034</v>
      </c>
      <c r="G43" s="60" t="n">
        <f aca="false">-Payables!P16</f>
        <v>-315669.551331724</v>
      </c>
      <c r="H43" s="71" t="n">
        <f aca="false">(D43-$C43)*H$23+E43*H$24+F43*H$25+G43*H$26</f>
        <v>-0</v>
      </c>
      <c r="I43" s="71" t="n">
        <f aca="false">(D43-$C43)*I$23+E43*I$24+F43*I$25+G43*I$26</f>
        <v>-235049.153180087</v>
      </c>
      <c r="J43" s="71" t="n">
        <f aca="false">(D43-$C43)*J$23+E43*J$24+F43*J$25+G43*J$26</f>
        <v>-0</v>
      </c>
      <c r="K43" s="71" t="n">
        <f aca="false">(D43-$C43)*K$23+E43*K$24+F43*K$25+G43*K$26</f>
        <v>-0</v>
      </c>
      <c r="L43" s="71" t="n">
        <f aca="false">(D43-$C43)*L$23+E43*L$24+F43*L$25+G43*L$26</f>
        <v>-0</v>
      </c>
      <c r="M43" s="71" t="n">
        <f aca="false">(D43-$C43)*M$23+E43*M$24+F43*M$25+G43*M$26</f>
        <v>-0</v>
      </c>
      <c r="N43" s="71" t="n">
        <f aca="false">(D43-$C43)*N$23+E43*N$24+F43*N$25+G43*N$26</f>
        <v>-233829.297282758</v>
      </c>
      <c r="O43" s="71" t="n">
        <f aca="false">(D43-$C43)*O$23+E43*O$24+F43*O$25+G43*O$26</f>
        <v>-0</v>
      </c>
      <c r="P43" s="71" t="n">
        <f aca="false">(D43-$C43)*P$23+E43*P$24+F43*P$25+G43*P$26</f>
        <v>-0</v>
      </c>
      <c r="Q43" s="71" t="n">
        <f aca="false">(D43-$C43)*Q$23+E43*Q$24+F43*Q$25+G43*Q$26</f>
        <v>-0</v>
      </c>
      <c r="R43" s="71" t="n">
        <f aca="false">(D43-$C43)*R$23+E43*R$24+F43*R$25+G43*R$26</f>
        <v>-257212.227011034</v>
      </c>
      <c r="S43" s="71" t="n">
        <f aca="false">(D43-$C43)*S$23+E43*S$24+F43*S$25+G43*S$26</f>
        <v>-0</v>
      </c>
      <c r="T43" s="71" t="n">
        <f aca="false">(D43-$C43)*T$23+E43*T$24+F43*T$25+G43*T$26</f>
        <v>-0</v>
      </c>
      <c r="U43" s="59" t="n">
        <f aca="false">SUM(H43:T43)</f>
        <v>-726090.677473879</v>
      </c>
      <c r="V43" s="104" t="n">
        <f aca="false">SUM(H$26:T$26)</f>
        <v>0</v>
      </c>
      <c r="W43" s="29" t="n">
        <f aca="false">G43*(1-V43)</f>
        <v>-315669.551331724</v>
      </c>
    </row>
    <row r="44" customFormat="false" ht="15" hidden="false" customHeight="false" outlineLevel="0" collapsed="false">
      <c r="A44" s="28" t="s">
        <v>454</v>
      </c>
      <c r="B44" s="58" t="s">
        <v>603</v>
      </c>
      <c r="C44" s="103" t="n">
        <v>-2534</v>
      </c>
      <c r="D44" s="60" t="n">
        <f aca="false">-Payables!M21</f>
        <v>-6911.34</v>
      </c>
      <c r="E44" s="60" t="n">
        <f aca="false">-Payables!N21</f>
        <v>-8320.05555555556</v>
      </c>
      <c r="F44" s="60" t="n">
        <f aca="false">-Payables!O21</f>
        <v>-14716.3888888889</v>
      </c>
      <c r="G44" s="60" t="n">
        <f aca="false">-Payables!P21</f>
        <v>-13559.0555555556</v>
      </c>
      <c r="H44" s="71" t="n">
        <f aca="false">(D44-$C44)*H$11+E44*H$12+F44*H$13+G44*H$14</f>
        <v>-1612.70421052632</v>
      </c>
      <c r="I44" s="71" t="n">
        <f aca="false">(D44-$C44)*I$11+E44*I$12+F44*I$13+G44*I$14</f>
        <v>-1612.70421052632</v>
      </c>
      <c r="J44" s="71" t="n">
        <f aca="false">(D44-$C44)*J$11+E44*J$12+F44*J$13+G44*J$14</f>
        <v>-1688.70935672515</v>
      </c>
      <c r="K44" s="71" t="n">
        <f aca="false">(D44-$C44)*K$11+E44*K$12+F44*K$13+G44*K$14</f>
        <v>-1878.72222222222</v>
      </c>
      <c r="L44" s="71" t="n">
        <f aca="false">(D44-$C44)*L$11+E44*L$12+F44*L$13+G44*L$14</f>
        <v>-1878.72222222222</v>
      </c>
      <c r="M44" s="71" t="n">
        <f aca="false">(D44-$C44)*M$11+E44*M$12+F44*M$13+G44*M$14</f>
        <v>-1878.72222222222</v>
      </c>
      <c r="N44" s="71" t="n">
        <f aca="false">(D44-$C44)*N$11+E44*N$12+F44*N$13+G44*N$14</f>
        <v>-1878.72222222222</v>
      </c>
      <c r="O44" s="71" t="n">
        <f aca="false">(D44-$C44)*O$11+E44*O$12+F44*O$13+G44*O$14</f>
        <v>-3211.66666666667</v>
      </c>
      <c r="P44" s="71" t="n">
        <f aca="false">(D44-$C44)*P$11+E44*P$12+F44*P$13+G44*P$14</f>
        <v>-3433.82407407407</v>
      </c>
      <c r="Q44" s="71" t="n">
        <f aca="false">(D44-$C44)*Q$11+E44*Q$12+F44*Q$13+G44*Q$14</f>
        <v>-3433.82407407407</v>
      </c>
      <c r="R44" s="71" t="n">
        <f aca="false">(D44-$C44)*R$11+E44*R$12+F44*R$13+G44*R$14</f>
        <v>-3433.82407407407</v>
      </c>
      <c r="S44" s="71" t="n">
        <f aca="false">(D44-$C44)*S$11+E44*S$12+F44*S$13+G44*S$14</f>
        <v>-3221.19444444444</v>
      </c>
      <c r="T44" s="71" t="n">
        <f aca="false">(D44-$C44)*T$11+E44*T$12+F44*T$13+G44*T$14</f>
        <v>-3061.72222222222</v>
      </c>
      <c r="U44" s="59" t="n">
        <f aca="false">SUM(H44:T44)</f>
        <v>-32225.0622222222</v>
      </c>
      <c r="V44" s="104" t="n">
        <f aca="false">SUM(H$14:T$14)</f>
        <v>0.354838709677419</v>
      </c>
      <c r="W44" s="29" t="n">
        <f aca="false">G44*(1-V44)</f>
        <v>-8747.77777777778</v>
      </c>
    </row>
    <row r="45" customFormat="false" ht="15" hidden="false" customHeight="false" outlineLevel="0" collapsed="false">
      <c r="A45" s="28" t="s">
        <v>618</v>
      </c>
      <c r="B45" s="58" t="s">
        <v>603</v>
      </c>
      <c r="C45" s="103" t="n">
        <v>-14473</v>
      </c>
      <c r="D45" s="60" t="n">
        <f aca="false">-Payables!M26</f>
        <v>-39471.626</v>
      </c>
      <c r="E45" s="60" t="n">
        <f aca="false">-Payables!N26</f>
        <v>-44090</v>
      </c>
      <c r="F45" s="60" t="n">
        <f aca="false">-Payables!O26</f>
        <v>-47438</v>
      </c>
      <c r="G45" s="60" t="n">
        <f aca="false">-Payables!P26</f>
        <v>-45206</v>
      </c>
      <c r="H45" s="71" t="n">
        <f aca="false">(D45-$C45)*H$11+E45*H$12+F45*H$13+G45*H$14</f>
        <v>-9210.02010526316</v>
      </c>
      <c r="I45" s="71" t="n">
        <f aca="false">(D45-$C45)*I$11+E45*I$12+F45*I$13+G45*I$14</f>
        <v>-9210.02010526316</v>
      </c>
      <c r="J45" s="71" t="n">
        <f aca="false">(D45-$C45)*J$11+E45*J$12+F45*J$13+G45*J$14</f>
        <v>-9423.10191850595</v>
      </c>
      <c r="K45" s="71" t="n">
        <f aca="false">(D45-$C45)*K$11+E45*K$12+F45*K$13+G45*K$14</f>
        <v>-9955.8064516129</v>
      </c>
      <c r="L45" s="71" t="n">
        <f aca="false">(D45-$C45)*L$11+E45*L$12+F45*L$13+G45*L$14</f>
        <v>-9955.8064516129</v>
      </c>
      <c r="M45" s="71" t="n">
        <f aca="false">(D45-$C45)*M$11+E45*M$12+F45*M$13+G45*M$14</f>
        <v>-9955.8064516129</v>
      </c>
      <c r="N45" s="71" t="n">
        <f aca="false">(D45-$C45)*N$11+E45*N$12+F45*N$13+G45*N$14</f>
        <v>-9955.8064516129</v>
      </c>
      <c r="O45" s="71" t="n">
        <f aca="false">(D45-$C45)*O$11+E45*O$12+F45*O$13+G45*O$14</f>
        <v>-10909.8580645161</v>
      </c>
      <c r="P45" s="71" t="n">
        <f aca="false">(D45-$C45)*P$11+E45*P$12+F45*P$13+G45*P$14</f>
        <v>-11068.8666666667</v>
      </c>
      <c r="Q45" s="71" t="n">
        <f aca="false">(D45-$C45)*Q$11+E45*Q$12+F45*Q$13+G45*Q$14</f>
        <v>-11068.8666666667</v>
      </c>
      <c r="R45" s="71" t="n">
        <f aca="false">(D45-$C45)*R$11+E45*R$12+F45*R$13+G45*R$14</f>
        <v>-11068.8666666667</v>
      </c>
      <c r="S45" s="71" t="n">
        <f aca="false">(D45-$C45)*S$11+E45*S$12+F45*S$13+G45*S$14</f>
        <v>-10576.8322580645</v>
      </c>
      <c r="T45" s="71" t="n">
        <f aca="false">(D45-$C45)*T$11+E45*T$12+F45*T$13+G45*T$14</f>
        <v>-10207.8064516129</v>
      </c>
      <c r="U45" s="59" t="n">
        <f aca="false">SUM(H45:T45)</f>
        <v>-132567.464709677</v>
      </c>
      <c r="V45" s="104" t="n">
        <f aca="false">SUM(H$14:T$14)</f>
        <v>0.354838709677419</v>
      </c>
      <c r="W45" s="29" t="n">
        <f aca="false">G45*(1-V45)</f>
        <v>-29165.1612903226</v>
      </c>
    </row>
    <row r="46" customFormat="false" ht="15" hidden="false" customHeight="false" outlineLevel="0" collapsed="false">
      <c r="A46" s="28" t="s">
        <v>619</v>
      </c>
      <c r="B46" s="58" t="s">
        <v>620</v>
      </c>
      <c r="C46" s="29" t="n">
        <v>0</v>
      </c>
      <c r="D46" s="60" t="n">
        <f aca="false">VAT!M22</f>
        <v>-0</v>
      </c>
      <c r="E46" s="60" t="n">
        <f aca="false">VAT!N22</f>
        <v>-1022.86552504612</v>
      </c>
      <c r="F46" s="60" t="n">
        <f aca="false">VAT!O22</f>
        <v>-0</v>
      </c>
      <c r="G46" s="60" t="n">
        <f aca="false">VAT!P22</f>
        <v>-1712.75049332148</v>
      </c>
      <c r="H46" s="71" t="n">
        <f aca="false">(D46-$C46)*H$19+E46*H$20+F46*H$21+G46*H$22</f>
        <v>-0</v>
      </c>
      <c r="I46" s="71" t="n">
        <f aca="false">(D46-$C46)*I$19+E46*I$20+F46*I$21+G46*I$22</f>
        <v>-0</v>
      </c>
      <c r="J46" s="71" t="n">
        <f aca="false">(D46-$C46)*J$19+E46*J$20+F46*J$21+G46*J$22</f>
        <v>-0</v>
      </c>
      <c r="K46" s="71" t="n">
        <f aca="false">(D46-$C46)*K$19+E46*K$20+F46*K$21+G46*K$22</f>
        <v>-0</v>
      </c>
      <c r="L46" s="71" t="n">
        <f aca="false">(D46-$C46)*L$19+E46*L$20+F46*L$21+G46*L$22</f>
        <v>-0</v>
      </c>
      <c r="M46" s="71" t="n">
        <f aca="false">(D46-$C46)*M$19+E46*M$20+F46*M$21+G46*M$22</f>
        <v>-1022.86552504612</v>
      </c>
      <c r="N46" s="71" t="n">
        <f aca="false">(D46-$C46)*N$19+E46*N$20+F46*N$21+G46*N$22</f>
        <v>-0</v>
      </c>
      <c r="O46" s="71" t="n">
        <f aca="false">(D46-$C46)*O$19+E46*O$20+F46*O$21+G46*O$22</f>
        <v>-0</v>
      </c>
      <c r="P46" s="71" t="n">
        <f aca="false">(D46-$C46)*P$19+E46*P$20+F46*P$21+G46*P$22</f>
        <v>-0</v>
      </c>
      <c r="Q46" s="71" t="n">
        <f aca="false">(D46-$C46)*Q$19+E46*Q$20+F46*Q$21+G46*Q$22</f>
        <v>-0</v>
      </c>
      <c r="R46" s="71" t="n">
        <f aca="false">(D46-$C46)*R$19+E46*R$20+F46*R$21+G46*R$22</f>
        <v>-0</v>
      </c>
      <c r="S46" s="71" t="n">
        <f aca="false">(D46-$C46)*S$19+E46*S$20+F46*S$21+G46*S$22</f>
        <v>-0</v>
      </c>
      <c r="T46" s="71" t="n">
        <f aca="false">(D46-$C46)*T$19+E46*T$20+F46*T$21+G46*T$22</f>
        <v>-0</v>
      </c>
      <c r="U46" s="59" t="n">
        <f aca="false">SUM(H46:T46)</f>
        <v>-1022.86552504612</v>
      </c>
      <c r="V46" s="104" t="n">
        <f aca="false">SUM(H$22:T$22)</f>
        <v>0</v>
      </c>
      <c r="W46" s="29" t="n">
        <f aca="false">G46*(1-V46)</f>
        <v>-1712.75049332148</v>
      </c>
    </row>
    <row r="47" customFormat="false" ht="15" hidden="false" customHeight="false" outlineLevel="0" collapsed="false">
      <c r="A47" s="28" t="s">
        <v>457</v>
      </c>
      <c r="B47" s="58" t="s">
        <v>607</v>
      </c>
      <c r="C47" s="29" t="n">
        <f aca="false">D47</f>
        <v>-0</v>
      </c>
      <c r="D47" s="60" t="n">
        <f aca="false">Financing!M19</f>
        <v>-0</v>
      </c>
      <c r="E47" s="60" t="n">
        <f aca="false">Financing!N19</f>
        <v>-0</v>
      </c>
      <c r="F47" s="60" t="n">
        <f aca="false">Financing!O19</f>
        <v>-0</v>
      </c>
      <c r="G47" s="60" t="n">
        <f aca="false">Financing!P19</f>
        <v>-0</v>
      </c>
      <c r="H47" s="71" t="n">
        <f aca="false">(D47-$C47)*H$15+E47*H$16+F47*H$17+G47*H$18</f>
        <v>0</v>
      </c>
      <c r="I47" s="71" t="n">
        <f aca="false">(D47-$C47)*I$15+E47*I$16+F47*I$17+G47*I$18</f>
        <v>0</v>
      </c>
      <c r="J47" s="71" t="n">
        <f aca="false">(D47-$C47)*J$15+E47*J$16+F47*J$17+G47*J$18</f>
        <v>0</v>
      </c>
      <c r="K47" s="71" t="n">
        <f aca="false">(D47-$C47)*K$15+E47*K$16+F47*K$17+G47*K$18</f>
        <v>0</v>
      </c>
      <c r="L47" s="71" t="n">
        <f aca="false">(D47-$C47)*L$15+E47*L$16+F47*L$17+G47*L$18</f>
        <v>0</v>
      </c>
      <c r="M47" s="71" t="n">
        <f aca="false">(D47-$C47)*M$15+E47*M$16+F47*M$17+G47*M$18</f>
        <v>0</v>
      </c>
      <c r="N47" s="71" t="n">
        <f aca="false">(D47-$C47)*N$15+E47*N$16+F47*N$17+G47*N$18</f>
        <v>0</v>
      </c>
      <c r="O47" s="71" t="n">
        <f aca="false">(D47-$C47)*O$15+E47*O$16+F47*O$17+G47*O$18</f>
        <v>0</v>
      </c>
      <c r="P47" s="71" t="n">
        <f aca="false">(D47-$C47)*P$15+E47*P$16+F47*P$17+G47*P$18</f>
        <v>0</v>
      </c>
      <c r="Q47" s="71" t="n">
        <f aca="false">(D47-$C47)*Q$15+E47*Q$16+F47*Q$17+G47*Q$18</f>
        <v>0</v>
      </c>
      <c r="R47" s="71" t="n">
        <f aca="false">(D47-$C47)*R$15+E47*R$16+F47*R$17+G47*R$18</f>
        <v>0</v>
      </c>
      <c r="S47" s="71" t="n">
        <f aca="false">(D47-$C47)*S$15+E47*S$16+F47*S$17+G47*S$18</f>
        <v>0</v>
      </c>
      <c r="T47" s="71" t="n">
        <f aca="false">(D47-$C47)*T$15+E47*T$16+F47*T$17+G47*T$18</f>
        <v>0</v>
      </c>
      <c r="U47" s="59" t="n">
        <f aca="false">SUM(H47:T47)</f>
        <v>0</v>
      </c>
      <c r="V47" s="104" t="n">
        <f aca="false">SUM(H$18:T$18)</f>
        <v>1</v>
      </c>
      <c r="W47" s="29" t="n">
        <f aca="false">G47*(1-V47)</f>
        <v>-0</v>
      </c>
    </row>
    <row r="48" customFormat="false" ht="15" hidden="false" customHeight="false" outlineLevel="0" collapsed="false">
      <c r="A48" s="28" t="s">
        <v>621</v>
      </c>
      <c r="B48" s="58" t="s">
        <v>617</v>
      </c>
      <c r="C48" s="29" t="n">
        <v>0</v>
      </c>
      <c r="D48" s="60" t="n">
        <f aca="false">Financing!M10-Financing!M12</f>
        <v>-3392</v>
      </c>
      <c r="E48" s="60" t="n">
        <f aca="false">Financing!N10-Financing!N12</f>
        <v>-3378</v>
      </c>
      <c r="F48" s="60" t="n">
        <f aca="false">Financing!O10-Financing!O12</f>
        <v>-3364</v>
      </c>
      <c r="G48" s="60" t="n">
        <f aca="false">Financing!P10-Financing!P12</f>
        <v>-3350</v>
      </c>
      <c r="H48" s="71" t="n">
        <f aca="false">(D48-$C48)*H$23+E48*H$24+F48*H$25+G48*H$26</f>
        <v>-0</v>
      </c>
      <c r="I48" s="71" t="n">
        <f aca="false">(D48-$C48)*I$23+E48*I$24+F48*I$25+G48*I$26</f>
        <v>-3392</v>
      </c>
      <c r="J48" s="71" t="n">
        <f aca="false">(D48-$C48)*J$23+E48*J$24+F48*J$25+G48*J$26</f>
        <v>-0</v>
      </c>
      <c r="K48" s="71" t="n">
        <f aca="false">(D48-$C48)*K$23+E48*K$24+F48*K$25+G48*K$26</f>
        <v>-0</v>
      </c>
      <c r="L48" s="71" t="n">
        <f aca="false">(D48-$C48)*L$23+E48*L$24+F48*L$25+G48*L$26</f>
        <v>-0</v>
      </c>
      <c r="M48" s="71" t="n">
        <f aca="false">(D48-$C48)*M$23+E48*M$24+F48*M$25+G48*M$26</f>
        <v>-0</v>
      </c>
      <c r="N48" s="71" t="n">
        <f aca="false">(D48-$C48)*N$23+E48*N$24+F48*N$25+G48*N$26</f>
        <v>-3378</v>
      </c>
      <c r="O48" s="71" t="n">
        <f aca="false">(D48-$C48)*O$23+E48*O$24+F48*O$25+G48*O$26</f>
        <v>-0</v>
      </c>
      <c r="P48" s="71" t="n">
        <f aca="false">(D48-$C48)*P$23+E48*P$24+F48*P$25+G48*P$26</f>
        <v>-0</v>
      </c>
      <c r="Q48" s="71" t="n">
        <f aca="false">(D48-$C48)*Q$23+E48*Q$24+F48*Q$25+G48*Q$26</f>
        <v>-0</v>
      </c>
      <c r="R48" s="71" t="n">
        <f aca="false">(D48-$C48)*R$23+E48*R$24+F48*R$25+G48*R$26</f>
        <v>-3364</v>
      </c>
      <c r="S48" s="71" t="n">
        <f aca="false">(D48-$C48)*S$23+E48*S$24+F48*S$25+G48*S$26</f>
        <v>-0</v>
      </c>
      <c r="T48" s="71" t="n">
        <f aca="false">(D48-$C48)*T$23+E48*T$24+F48*T$25+G48*T$26</f>
        <v>-0</v>
      </c>
      <c r="U48" s="59" t="n">
        <f aca="false">SUM(H48:T48)</f>
        <v>-10134</v>
      </c>
      <c r="V48" s="104" t="n">
        <f aca="false">SUM(H$26:T$26)</f>
        <v>0</v>
      </c>
      <c r="W48" s="29" t="n">
        <f aca="false">G48*(1-V48)</f>
        <v>-3350</v>
      </c>
    </row>
    <row r="49" customFormat="false" ht="15" hidden="false" customHeight="false" outlineLevel="0" collapsed="false">
      <c r="A49" s="28" t="s">
        <v>458</v>
      </c>
      <c r="B49" s="58" t="s">
        <v>603</v>
      </c>
      <c r="C49" s="103" t="n">
        <v>-1273</v>
      </c>
      <c r="D49" s="60" t="n">
        <f aca="false">-Fixed_Assets!M25*(1+Assumptions!$C$18)</f>
        <v>-3472</v>
      </c>
      <c r="E49" s="60" t="n">
        <f aca="false">-Fixed_Assets!N25*(1+Assumptions!$C$18)</f>
        <v>-6696</v>
      </c>
      <c r="F49" s="60" t="n">
        <f aca="false">-Fixed_Assets!O25*(1+Assumptions!$C$18)</f>
        <v>-6696</v>
      </c>
      <c r="G49" s="60" t="n">
        <f aca="false">-Fixed_Assets!P25*(1+Assumptions!$C$18)</f>
        <v>-3472</v>
      </c>
      <c r="H49" s="71" t="n">
        <f aca="false">(D49-$C49)*H$11+E49*H$12+F49*H$13+G49*H$14</f>
        <v>-810.157894736842</v>
      </c>
      <c r="I49" s="71" t="n">
        <f aca="false">(D49-$C49)*I$11+E49*I$12+F49*I$13+G49*I$14</f>
        <v>-810.157894736842</v>
      </c>
      <c r="J49" s="71" t="n">
        <f aca="false">(D49-$C49)*J$11+E49*J$12+F49*J$13+G49*J$14</f>
        <v>-1010.68421052632</v>
      </c>
      <c r="K49" s="71" t="n">
        <f aca="false">(D49-$C49)*K$11+E49*K$12+F49*K$13+G49*K$14</f>
        <v>-1512</v>
      </c>
      <c r="L49" s="71" t="n">
        <f aca="false">(D49-$C49)*L$11+E49*L$12+F49*L$13+G49*L$14</f>
        <v>-1512</v>
      </c>
      <c r="M49" s="71" t="n">
        <f aca="false">(D49-$C49)*M$11+E49*M$12+F49*M$13+G49*M$14</f>
        <v>-1512</v>
      </c>
      <c r="N49" s="71" t="n">
        <f aca="false">(D49-$C49)*N$11+E49*N$12+F49*N$13+G49*N$14</f>
        <v>-1512</v>
      </c>
      <c r="O49" s="71" t="n">
        <f aca="false">(D49-$C49)*O$11+E49*O$12+F49*O$13+G49*O$14</f>
        <v>-1555.2</v>
      </c>
      <c r="P49" s="71" t="n">
        <f aca="false">(D49-$C49)*P$11+E49*P$12+F49*P$13+G49*P$14</f>
        <v>-1562.4</v>
      </c>
      <c r="Q49" s="71" t="n">
        <f aca="false">(D49-$C49)*Q$11+E49*Q$12+F49*Q$13+G49*Q$14</f>
        <v>-1562.4</v>
      </c>
      <c r="R49" s="71" t="n">
        <f aca="false">(D49-$C49)*R$11+E49*R$12+F49*R$13+G49*R$14</f>
        <v>-1562.4</v>
      </c>
      <c r="S49" s="71" t="n">
        <f aca="false">(D49-$C49)*S$11+E49*S$12+F49*S$13+G49*S$14</f>
        <v>-1117.6</v>
      </c>
      <c r="T49" s="71" t="n">
        <f aca="false">(D49-$C49)*T$11+E49*T$12+F49*T$13+G49*T$14</f>
        <v>-784</v>
      </c>
      <c r="U49" s="59" t="n">
        <f aca="false">SUM(H49:T49)</f>
        <v>-16823</v>
      </c>
      <c r="V49" s="104" t="n">
        <f aca="false">SUM(H$14:T$14)</f>
        <v>0.354838709677419</v>
      </c>
      <c r="W49" s="29" t="n">
        <f aca="false">G49*(1-V49)</f>
        <v>-2240</v>
      </c>
    </row>
    <row r="50" customFormat="false" ht="15" hidden="false" customHeight="false" outlineLevel="0" collapsed="false">
      <c r="A50" s="28" t="s">
        <v>460</v>
      </c>
      <c r="B50" s="58" t="s">
        <v>612</v>
      </c>
      <c r="C50" s="29" t="n">
        <v>0</v>
      </c>
      <c r="D50" s="60" t="n">
        <f aca="false">-Financing!M16</f>
        <v>-0</v>
      </c>
      <c r="E50" s="60" t="n">
        <f aca="false">-Financing!N16</f>
        <v>-0</v>
      </c>
      <c r="F50" s="60" t="n">
        <f aca="false">-Financing!O16</f>
        <v>-0</v>
      </c>
      <c r="G50" s="60" t="n">
        <f aca="false">-Financing!P16</f>
        <v>-0</v>
      </c>
      <c r="H50" s="71" t="n">
        <f aca="false">(D50-$C50)*H$27+E50*H$28+F50*H$29+G50*H$30</f>
        <v>-0</v>
      </c>
      <c r="I50" s="71" t="n">
        <f aca="false">(D50-$C50)*I$27+E50*I$28+F50*I$29+G50*I$30</f>
        <v>-0</v>
      </c>
      <c r="J50" s="71" t="n">
        <f aca="false">(D50-$C50)*J$27+E50*J$28+F50*J$29+G50*J$30</f>
        <v>-0</v>
      </c>
      <c r="K50" s="71" t="n">
        <f aca="false">(D50-$C50)*K$27+E50*K$28+F50*K$29+G50*K$30</f>
        <v>-0</v>
      </c>
      <c r="L50" s="71" t="n">
        <f aca="false">(D50-$C50)*L$27+E50*L$28+F50*L$29+G50*L$30</f>
        <v>-0</v>
      </c>
      <c r="M50" s="71" t="n">
        <f aca="false">(D50-$C50)*M$27+E50*M$28+F50*M$29+G50*M$30</f>
        <v>-0</v>
      </c>
      <c r="N50" s="71" t="n">
        <f aca="false">(D50-$C50)*N$27+E50*N$28+F50*N$29+G50*N$30</f>
        <v>-0</v>
      </c>
      <c r="O50" s="71" t="n">
        <f aca="false">(D50-$C50)*O$27+E50*O$28+F50*O$29+G50*O$30</f>
        <v>-0</v>
      </c>
      <c r="P50" s="71" t="n">
        <f aca="false">(D50-$C50)*P$27+E50*P$28+F50*P$29+G50*P$30</f>
        <v>-0</v>
      </c>
      <c r="Q50" s="71" t="n">
        <f aca="false">(D50-$C50)*Q$27+E50*Q$28+F50*Q$29+G50*Q$30</f>
        <v>-0</v>
      </c>
      <c r="R50" s="71" t="n">
        <f aca="false">(D50-$C50)*R$27+E50*R$28+F50*R$29+G50*R$30</f>
        <v>-0</v>
      </c>
      <c r="S50" s="71" t="n">
        <f aca="false">(D50-$C50)*S$27+E50*S$28+F50*S$29+G50*S$30</f>
        <v>-0</v>
      </c>
      <c r="T50" s="71" t="n">
        <f aca="false">(D50-$C50)*T$27+E50*T$28+F50*T$29+G50*T$30</f>
        <v>-0</v>
      </c>
      <c r="U50" s="59" t="n">
        <f aca="false">SUM(H50:T50)</f>
        <v>0</v>
      </c>
      <c r="V50" s="104" t="n">
        <f aca="false">SUM(H$30:T$30)</f>
        <v>0</v>
      </c>
      <c r="W50" s="29" t="n">
        <f aca="false">G50*(1-V50)</f>
        <v>-0</v>
      </c>
    </row>
    <row r="51" customFormat="false" ht="15" hidden="false" customHeight="false" outlineLevel="0" collapsed="false">
      <c r="A51" s="73" t="s">
        <v>622</v>
      </c>
      <c r="B51" s="105" t="s">
        <v>609</v>
      </c>
      <c r="C51" s="106" t="n">
        <f aca="false">C39+C40+C41+C42+C43+C44+C45+C46+C47+C48+C49+C50</f>
        <v>-118175.72192</v>
      </c>
      <c r="D51" s="107" t="n">
        <f aca="false">D39+D40+D41+D42+D43+D44+D45+D46+D47+D48+D49+D50</f>
        <v>-533112.291942365</v>
      </c>
      <c r="E51" s="107" t="n">
        <f aca="false">E39+E40+E41+E42+E43+E44+E45+E46+E47+E48+E49+E50</f>
        <v>-525893.54634125</v>
      </c>
      <c r="F51" s="107" t="n">
        <f aca="false">F39+F40+F41+F42+F43+F44+F45+F46+F47+F48+F49+F50</f>
        <v>-559160.719899923</v>
      </c>
      <c r="G51" s="107" t="n">
        <f aca="false">G39+G40+G41+G42+G43+G44+G45+G46+G47+G48+G49+G50</f>
        <v>-614717.957380601</v>
      </c>
      <c r="H51" s="70" t="n">
        <f aca="false">H39+H40+H41+H42+H43+H44+H45+H46+H47+H48+H49+H50</f>
        <v>-18517.2196787341</v>
      </c>
      <c r="I51" s="70" t="n">
        <f aca="false">I39+I40+I41+I42+I43+I44+I45+I46+I47+I48+I49+I50</f>
        <v>-256958.372858821</v>
      </c>
      <c r="J51" s="70" t="n">
        <f aca="false">J39+J40+J41+J42+J43+J44+J45+J46+J47+J48+J49+J50</f>
        <v>-143952.021067613</v>
      </c>
      <c r="K51" s="70" t="n">
        <f aca="false">K39+K40+K41+K42+K43+K44+K45+K46+K47+K48+K49+K50</f>
        <v>-15718.6525398102</v>
      </c>
      <c r="L51" s="70" t="n">
        <f aca="false">L39+L40+L41+L42+L43+L44+L45+L46+L47+L48+L49+L50</f>
        <v>-103698.06053981</v>
      </c>
      <c r="M51" s="70" t="n">
        <f aca="false">M39+M40+M41+M42+M43+M44+M45+M46+M47+M48+M49+M50</f>
        <v>-16741.5180648564</v>
      </c>
      <c r="N51" s="70" t="n">
        <f aca="false">N39+N40+N41+N42+N43+N44+N45+N46+N47+N48+N49+N50</f>
        <v>-252925.949822569</v>
      </c>
      <c r="O51" s="70" t="n">
        <f aca="false">O39+O40+O41+O42+O43+O44+O45+O46+O47+O48+O49+O50</f>
        <v>-147293.999569179</v>
      </c>
      <c r="P51" s="70" t="n">
        <f aca="false">P39+P40+P41+P42+P43+P44+P45+P46+P47+P48+P49+P50</f>
        <v>-108168.824074074</v>
      </c>
      <c r="Q51" s="70" t="n">
        <f aca="false">Q39+Q40+Q41+Q42+Q43+Q44+Q45+Q46+Q47+Q48+Q49+Q50</f>
        <v>-17471.6240740741</v>
      </c>
      <c r="R51" s="70" t="n">
        <f aca="false">R39+R40+R41+R42+R43+R44+R45+R46+R47+R48+R49+R50</f>
        <v>-278047.851085108</v>
      </c>
      <c r="S51" s="70" t="n">
        <f aca="false">S39+S40+S41+S42+S43+S44+S45+S46+S47+S48+S49+S50</f>
        <v>-149305.137154122</v>
      </c>
      <c r="T51" s="70" t="n">
        <f aca="false">T39+T40+T41+T42+T43+T44+T45+T46+T47+T48+T49+T50</f>
        <v>-108126.385964158</v>
      </c>
      <c r="U51" s="70" t="n">
        <f aca="false">SUM(H51:T51)</f>
        <v>-1616925.61649293</v>
      </c>
      <c r="V51" s="76"/>
      <c r="W51" s="76"/>
    </row>
    <row r="52" customFormat="false" ht="15" hidden="false" customHeight="false" outlineLevel="0" collapsed="false">
      <c r="A52" s="22" t="s">
        <v>439</v>
      </c>
      <c r="B52" s="23"/>
      <c r="C52" s="23"/>
      <c r="D52" s="23"/>
      <c r="E52" s="23"/>
      <c r="F52" s="23"/>
      <c r="G52" s="23"/>
      <c r="H52" s="23"/>
      <c r="I52" s="23"/>
      <c r="J52" s="23"/>
      <c r="K52" s="23"/>
      <c r="L52" s="23"/>
      <c r="M52" s="23"/>
      <c r="N52" s="23"/>
      <c r="O52" s="23"/>
      <c r="P52" s="23"/>
      <c r="Q52" s="23"/>
      <c r="R52" s="23"/>
      <c r="S52" s="23"/>
      <c r="T52" s="23"/>
      <c r="U52" s="23"/>
      <c r="V52" s="23"/>
      <c r="W52" s="23"/>
    </row>
    <row r="53" customFormat="false" ht="15" hidden="false" customHeight="false" outlineLevel="0" collapsed="false">
      <c r="A53" s="73" t="s">
        <v>623</v>
      </c>
      <c r="B53" s="105" t="s">
        <v>609</v>
      </c>
      <c r="C53" s="70" t="n">
        <f aca="false">C37+C51</f>
        <v>69315.3232</v>
      </c>
      <c r="D53" s="107" t="n">
        <f aca="false">D37+D51</f>
        <v>-28561.809886921</v>
      </c>
      <c r="E53" s="107" t="n">
        <f aca="false">E37+E51</f>
        <v>81355.86930952</v>
      </c>
      <c r="F53" s="107" t="n">
        <f aca="false">F37+F51</f>
        <v>147278.378741517</v>
      </c>
      <c r="G53" s="107" t="n">
        <f aca="false">G37+G51</f>
        <v>44573.7955214235</v>
      </c>
      <c r="H53" s="70" t="n">
        <f aca="false">H37+H51</f>
        <v>98294.1518237979</v>
      </c>
      <c r="I53" s="70" t="n">
        <f aca="false">I37+I51</f>
        <v>-140147.001356289</v>
      </c>
      <c r="J53" s="70" t="n">
        <f aca="false">J37+J51</f>
        <v>-21347.2675468608</v>
      </c>
      <c r="K53" s="70" t="n">
        <f aca="false">K37+K51</f>
        <v>121369.556026493</v>
      </c>
      <c r="L53" s="70" t="n">
        <f aca="false">L37+L51</f>
        <v>33534.6400264926</v>
      </c>
      <c r="M53" s="70" t="n">
        <f aca="false">M37+M51</f>
        <v>120346.690501446</v>
      </c>
      <c r="N53" s="70" t="n">
        <f aca="false">N37+N51</f>
        <v>-115837.741256266</v>
      </c>
      <c r="O53" s="70" t="n">
        <f aca="false">O37+O51</f>
        <v>13577.8499542948</v>
      </c>
      <c r="P53" s="70" t="n">
        <f aca="false">P37+P51</f>
        <v>56666.9656089285</v>
      </c>
      <c r="Q53" s="70" t="n">
        <f aca="false">Q37+Q51</f>
        <v>147364.165608929</v>
      </c>
      <c r="R53" s="70" t="n">
        <f aca="false">R37+R51</f>
        <v>-113212.061402106</v>
      </c>
      <c r="S53" s="70" t="n">
        <f aca="false">S37+S51</f>
        <v>6397.71103722649</v>
      </c>
      <c r="T53" s="70" t="n">
        <f aca="false">T37+T51</f>
        <v>40811.7369746402</v>
      </c>
      <c r="U53" s="70" t="n">
        <f aca="false">SUM(H53:T53)</f>
        <v>247819.396000727</v>
      </c>
      <c r="V53" s="76"/>
      <c r="W53" s="76"/>
    </row>
    <row r="54" customFormat="false" ht="15" hidden="false" customHeight="false" outlineLevel="0" collapsed="false">
      <c r="A54" s="0" t="s">
        <v>441</v>
      </c>
      <c r="B54" s="58" t="s">
        <v>624</v>
      </c>
      <c r="C54" s="85" t="n">
        <f aca="false">INDEX(BS!$E$9:$AB$9,Assumptions!$C$10)+C53</f>
        <v>437203.372543681</v>
      </c>
      <c r="H54" s="29" t="n">
        <f aca="false">C54</f>
        <v>437203.372543681</v>
      </c>
      <c r="I54" s="29" t="n">
        <f aca="false">H55</f>
        <v>535497.524367479</v>
      </c>
      <c r="J54" s="29" t="n">
        <f aca="false">I55</f>
        <v>395350.52301119</v>
      </c>
      <c r="K54" s="29" t="n">
        <f aca="false">J55</f>
        <v>374003.25546433</v>
      </c>
      <c r="L54" s="29" t="n">
        <f aca="false">K55</f>
        <v>495372.811490822</v>
      </c>
      <c r="M54" s="29" t="n">
        <f aca="false">L55</f>
        <v>528907.451517315</v>
      </c>
      <c r="N54" s="29" t="n">
        <f aca="false">M55</f>
        <v>649254.142018761</v>
      </c>
      <c r="O54" s="29" t="n">
        <f aca="false">N55</f>
        <v>533416.400762496</v>
      </c>
      <c r="P54" s="29" t="n">
        <f aca="false">O55</f>
        <v>546994.25071679</v>
      </c>
      <c r="Q54" s="29" t="n">
        <f aca="false">P55</f>
        <v>603661.216325719</v>
      </c>
      <c r="R54" s="29" t="n">
        <f aca="false">Q55</f>
        <v>751025.381934647</v>
      </c>
      <c r="S54" s="29" t="n">
        <f aca="false">R55</f>
        <v>637813.320532542</v>
      </c>
      <c r="T54" s="29" t="n">
        <f aca="false">S55</f>
        <v>644211.031569768</v>
      </c>
    </row>
    <row r="55" customFormat="false" ht="15" hidden="false" customHeight="false" outlineLevel="0" collapsed="false">
      <c r="A55" s="73" t="s">
        <v>625</v>
      </c>
      <c r="B55" s="76"/>
      <c r="C55" s="76"/>
      <c r="D55" s="76"/>
      <c r="E55" s="76"/>
      <c r="F55" s="76"/>
      <c r="G55" s="76"/>
      <c r="H55" s="70" t="n">
        <f aca="false">H54+H53</f>
        <v>535497.524367479</v>
      </c>
      <c r="I55" s="70" t="n">
        <f aca="false">I54+I53</f>
        <v>395350.52301119</v>
      </c>
      <c r="J55" s="70" t="n">
        <f aca="false">J54+J53</f>
        <v>374003.25546433</v>
      </c>
      <c r="K55" s="70" t="n">
        <f aca="false">K54+K53</f>
        <v>495372.811490822</v>
      </c>
      <c r="L55" s="70" t="n">
        <f aca="false">L54+L53</f>
        <v>528907.451517315</v>
      </c>
      <c r="M55" s="70" t="n">
        <f aca="false">M54+M53</f>
        <v>649254.142018761</v>
      </c>
      <c r="N55" s="70" t="n">
        <f aca="false">N54+N53</f>
        <v>533416.400762496</v>
      </c>
      <c r="O55" s="70" t="n">
        <f aca="false">O54+O53</f>
        <v>546994.25071679</v>
      </c>
      <c r="P55" s="70" t="n">
        <f aca="false">P54+P53</f>
        <v>603661.216325719</v>
      </c>
      <c r="Q55" s="70" t="n">
        <f aca="false">Q54+Q53</f>
        <v>751025.381934647</v>
      </c>
      <c r="R55" s="70" t="n">
        <f aca="false">R54+R53</f>
        <v>637813.320532542</v>
      </c>
      <c r="S55" s="70" t="n">
        <f aca="false">S54+S53</f>
        <v>644211.031569768</v>
      </c>
      <c r="T55" s="70" t="n">
        <f aca="false">T54+T53</f>
        <v>685022.768544409</v>
      </c>
      <c r="U55" s="76"/>
      <c r="V55" s="76"/>
      <c r="W55" s="76"/>
    </row>
    <row r="57" customFormat="false" ht="15" hidden="false" customHeight="false" outlineLevel="0" collapsed="false">
      <c r="A57" s="22" t="s">
        <v>626</v>
      </c>
      <c r="B57" s="23"/>
      <c r="C57" s="23"/>
      <c r="D57" s="23"/>
      <c r="E57" s="23"/>
      <c r="F57" s="23"/>
      <c r="G57" s="23"/>
      <c r="H57" s="23"/>
      <c r="I57" s="23"/>
      <c r="J57" s="23"/>
      <c r="K57" s="23"/>
      <c r="L57" s="23"/>
      <c r="M57" s="23"/>
      <c r="N57" s="23"/>
      <c r="O57" s="23"/>
      <c r="P57" s="23"/>
      <c r="Q57" s="23"/>
      <c r="R57" s="23"/>
      <c r="S57" s="23"/>
      <c r="T57" s="23"/>
      <c r="U57" s="23"/>
      <c r="V57" s="23"/>
      <c r="W57" s="23"/>
    </row>
    <row r="58" customFormat="false" ht="15" hidden="false" customHeight="false" outlineLevel="0" collapsed="false">
      <c r="A58" s="0" t="s">
        <v>627</v>
      </c>
      <c r="H58" s="60" t="n">
        <f aca="false">Assumptions!$C$13</f>
        <v>350000</v>
      </c>
      <c r="I58" s="60" t="n">
        <f aca="false">Assumptions!$C$13</f>
        <v>350000</v>
      </c>
      <c r="J58" s="60" t="n">
        <f aca="false">Assumptions!$C$13</f>
        <v>350000</v>
      </c>
      <c r="K58" s="60" t="n">
        <f aca="false">Assumptions!$C$13</f>
        <v>350000</v>
      </c>
      <c r="L58" s="60" t="n">
        <f aca="false">Assumptions!$C$13</f>
        <v>350000</v>
      </c>
      <c r="M58" s="60" t="n">
        <f aca="false">Assumptions!$C$13</f>
        <v>350000</v>
      </c>
      <c r="N58" s="60" t="n">
        <f aca="false">Assumptions!$C$13</f>
        <v>350000</v>
      </c>
      <c r="O58" s="60" t="n">
        <f aca="false">Assumptions!$C$13</f>
        <v>350000</v>
      </c>
      <c r="P58" s="60" t="n">
        <f aca="false">Assumptions!$C$13</f>
        <v>350000</v>
      </c>
      <c r="Q58" s="60" t="n">
        <f aca="false">Assumptions!$C$13</f>
        <v>350000</v>
      </c>
      <c r="R58" s="60" t="n">
        <f aca="false">Assumptions!$C$13</f>
        <v>350000</v>
      </c>
      <c r="S58" s="60" t="n">
        <f aca="false">Assumptions!$C$13</f>
        <v>350000</v>
      </c>
      <c r="T58" s="60" t="n">
        <f aca="false">Assumptions!$C$13</f>
        <v>350000</v>
      </c>
    </row>
    <row r="59" customFormat="false" ht="15" hidden="false" customHeight="false" outlineLevel="0" collapsed="false">
      <c r="A59" s="5" t="s">
        <v>628</v>
      </c>
      <c r="H59" s="36" t="n">
        <f aca="false">H55-H58</f>
        <v>185497.524367479</v>
      </c>
      <c r="I59" s="36" t="n">
        <f aca="false">I55-I58</f>
        <v>45350.5230111904</v>
      </c>
      <c r="J59" s="36" t="n">
        <f aca="false">J55-J58</f>
        <v>24003.2554643296</v>
      </c>
      <c r="K59" s="36" t="n">
        <f aca="false">K55-K58</f>
        <v>145372.811490822</v>
      </c>
      <c r="L59" s="36" t="n">
        <f aca="false">L55-L58</f>
        <v>178907.451517315</v>
      </c>
      <c r="M59" s="36" t="n">
        <f aca="false">M55-M58</f>
        <v>299254.142018761</v>
      </c>
      <c r="N59" s="36" t="n">
        <f aca="false">N55-N58</f>
        <v>183416.400762496</v>
      </c>
      <c r="O59" s="36" t="n">
        <f aca="false">O55-O58</f>
        <v>196994.25071679</v>
      </c>
      <c r="P59" s="36" t="n">
        <f aca="false">P55-P58</f>
        <v>253661.216325719</v>
      </c>
      <c r="Q59" s="36" t="n">
        <f aca="false">Q55-Q58</f>
        <v>401025.381934647</v>
      </c>
      <c r="R59" s="36" t="n">
        <f aca="false">R55-R58</f>
        <v>287813.320532542</v>
      </c>
      <c r="S59" s="36" t="n">
        <f aca="false">S55-S58</f>
        <v>294211.031569768</v>
      </c>
      <c r="T59" s="36" t="n">
        <f aca="false">T55-T58</f>
        <v>335022.768544409</v>
      </c>
    </row>
    <row r="60" customFormat="false" ht="15" hidden="false" customHeight="false" outlineLevel="0" collapsed="false">
      <c r="A60" s="0" t="s">
        <v>152</v>
      </c>
      <c r="H60" s="31" t="str">
        <f aca="false">IF(H55&lt;0,"NEGATIVE",IF(H59&lt;0,"BELOW BUFFER","OK"))</f>
        <v>OK</v>
      </c>
      <c r="I60" s="31" t="str">
        <f aca="false">IF(I55&lt;0,"NEGATIVE",IF(I59&lt;0,"BELOW BUFFER","OK"))</f>
        <v>OK</v>
      </c>
      <c r="J60" s="31" t="str">
        <f aca="false">IF(J55&lt;0,"NEGATIVE",IF(J59&lt;0,"BELOW BUFFER","OK"))</f>
        <v>OK</v>
      </c>
      <c r="K60" s="31" t="str">
        <f aca="false">IF(K55&lt;0,"NEGATIVE",IF(K59&lt;0,"BELOW BUFFER","OK"))</f>
        <v>OK</v>
      </c>
      <c r="L60" s="31" t="str">
        <f aca="false">IF(L55&lt;0,"NEGATIVE",IF(L59&lt;0,"BELOW BUFFER","OK"))</f>
        <v>OK</v>
      </c>
      <c r="M60" s="31" t="str">
        <f aca="false">IF(M55&lt;0,"NEGATIVE",IF(M59&lt;0,"BELOW BUFFER","OK"))</f>
        <v>OK</v>
      </c>
      <c r="N60" s="31" t="str">
        <f aca="false">IF(N55&lt;0,"NEGATIVE",IF(N59&lt;0,"BELOW BUFFER","OK"))</f>
        <v>OK</v>
      </c>
      <c r="O60" s="31" t="str">
        <f aca="false">IF(O55&lt;0,"NEGATIVE",IF(O59&lt;0,"BELOW BUFFER","OK"))</f>
        <v>OK</v>
      </c>
      <c r="P60" s="31" t="str">
        <f aca="false">IF(P55&lt;0,"NEGATIVE",IF(P59&lt;0,"BELOW BUFFER","OK"))</f>
        <v>OK</v>
      </c>
      <c r="Q60" s="31" t="str">
        <f aca="false">IF(Q55&lt;0,"NEGATIVE",IF(Q59&lt;0,"BELOW BUFFER","OK"))</f>
        <v>OK</v>
      </c>
      <c r="R60" s="31" t="str">
        <f aca="false">IF(R55&lt;0,"NEGATIVE",IF(R59&lt;0,"BELOW BUFFER","OK"))</f>
        <v>OK</v>
      </c>
      <c r="S60" s="31" t="str">
        <f aca="false">IF(S55&lt;0,"NEGATIVE",IF(S59&lt;0,"BELOW BUFFER","OK"))</f>
        <v>OK</v>
      </c>
      <c r="T60" s="31" t="str">
        <f aca="false">IF(T55&lt;0,"NEGATIVE",IF(T59&lt;0,"BELOW BUFFER","OK"))</f>
        <v>OK</v>
      </c>
    </row>
    <row r="61" customFormat="false" ht="15" hidden="false" customHeight="false" outlineLevel="0" collapsed="false">
      <c r="A61" s="0" t="s">
        <v>629</v>
      </c>
      <c r="C61" s="36" t="n">
        <f aca="false">MIN(H55:T55)</f>
        <v>374003.25546433</v>
      </c>
    </row>
    <row r="62" customFormat="false" ht="15" hidden="false" customHeight="false" outlineLevel="0" collapsed="false">
      <c r="A62" s="0" t="s">
        <v>630</v>
      </c>
      <c r="C62" s="108" t="n">
        <f aca="false">INDEX(H$6:T$6,MATCH(MIN(H55:T55),H55:T55,0))</f>
        <v>46297</v>
      </c>
    </row>
    <row r="63" customFormat="false" ht="15" hidden="false" customHeight="false" outlineLevel="0" collapsed="false">
      <c r="A63" s="0" t="s">
        <v>631</v>
      </c>
      <c r="C63" s="36" t="n">
        <f aca="false">MIN(H59:T59)</f>
        <v>24003.2554643296</v>
      </c>
    </row>
    <row r="64" customFormat="false" ht="15" hidden="false" customHeight="false" outlineLevel="0" collapsed="false">
      <c r="A64" s="0" t="s">
        <v>632</v>
      </c>
      <c r="C64" s="36" t="n">
        <f aca="false">Assumptions!$C$14</f>
        <v>300000</v>
      </c>
    </row>
    <row r="65" customFormat="false" ht="15" hidden="false" customHeight="false" outlineLevel="0" collapsed="false">
      <c r="A65" s="0" t="s">
        <v>633</v>
      </c>
      <c r="C65" s="36" t="n">
        <f aca="false">Assumptions!$C$14+MIN(0,MIN(H59:T59))</f>
        <v>300000</v>
      </c>
    </row>
    <row r="66" customFormat="false" ht="15" hidden="false" customHeight="false" outlineLevel="0" collapsed="false">
      <c r="A66" s="0" t="s">
        <v>634</v>
      </c>
      <c r="C66" s="36" t="n">
        <f aca="false">-(SUM(H41:T41)+SUM(H46:T46)+SUM(H47:T47))</f>
        <v>272411.169525046</v>
      </c>
    </row>
    <row r="68" customFormat="false" ht="15" hidden="false" customHeight="false" outlineLevel="0" collapsed="false">
      <c r="A68" s="22" t="s">
        <v>635</v>
      </c>
      <c r="B68" s="23"/>
      <c r="C68" s="23"/>
      <c r="D68" s="23"/>
      <c r="E68" s="23"/>
      <c r="F68" s="23"/>
      <c r="G68" s="23"/>
      <c r="H68" s="23"/>
      <c r="I68" s="23"/>
      <c r="J68" s="23"/>
      <c r="K68" s="23"/>
      <c r="L68" s="23"/>
      <c r="M68" s="23"/>
      <c r="N68" s="23"/>
      <c r="O68" s="23"/>
      <c r="P68" s="23"/>
      <c r="Q68" s="23"/>
      <c r="R68" s="23"/>
      <c r="S68" s="23"/>
      <c r="T68" s="23"/>
      <c r="U68" s="23"/>
      <c r="V68" s="23"/>
      <c r="W68" s="23"/>
    </row>
    <row r="69" customFormat="false" ht="15" hidden="false" customHeight="false" outlineLevel="0" collapsed="false">
      <c r="A69" s="82" t="s">
        <v>636</v>
      </c>
      <c r="C69" s="71" t="n">
        <f aca="false">T55</f>
        <v>685022.768544409</v>
      </c>
    </row>
    <row r="70" customFormat="false" ht="15" hidden="false" customHeight="false" outlineLevel="0" collapsed="false">
      <c r="A70" s="82" t="s">
        <v>637</v>
      </c>
      <c r="C70" s="71" t="n">
        <f aca="false">SUM(W33:W50)</f>
        <v>-72488.4855151883</v>
      </c>
    </row>
    <row r="71" customFormat="false" ht="15" hidden="false" customHeight="false" outlineLevel="0" collapsed="false">
      <c r="A71" s="5" t="s">
        <v>638</v>
      </c>
      <c r="C71" s="36" t="n">
        <f aca="false">C69+C70</f>
        <v>612534.28302922</v>
      </c>
    </row>
    <row r="72" customFormat="false" ht="15" hidden="false" customHeight="false" outlineLevel="0" collapsed="false">
      <c r="A72" s="82" t="s">
        <v>639</v>
      </c>
      <c r="C72" s="71" t="n">
        <f aca="false">BS!P9</f>
        <v>612534.28302922</v>
      </c>
    </row>
    <row r="73" customFormat="false" ht="15" hidden="false" customHeight="false" outlineLevel="0" collapsed="false">
      <c r="A73" s="5" t="s">
        <v>640</v>
      </c>
      <c r="C73" s="36" t="n">
        <f aca="false">ROUND(C71-C72,0)</f>
        <v>0</v>
      </c>
    </row>
    <row r="75" customFormat="false" ht="15" hidden="false" customHeight="false" outlineLevel="0" collapsed="false">
      <c r="A75" s="22" t="s">
        <v>641</v>
      </c>
      <c r="B75" s="23"/>
      <c r="C75" s="23"/>
      <c r="D75" s="23"/>
      <c r="E75" s="23"/>
      <c r="F75" s="23"/>
      <c r="G75" s="23"/>
      <c r="H75" s="23"/>
      <c r="I75" s="23"/>
      <c r="J75" s="23"/>
      <c r="K75" s="23"/>
      <c r="L75" s="23"/>
      <c r="M75" s="23"/>
      <c r="N75" s="23"/>
      <c r="O75" s="23"/>
      <c r="P75" s="23"/>
      <c r="Q75" s="23"/>
      <c r="R75" s="23"/>
      <c r="S75" s="23"/>
      <c r="T75" s="23"/>
      <c r="U75" s="23"/>
      <c r="V75" s="23"/>
      <c r="W75" s="23"/>
    </row>
    <row r="76" customFormat="false" ht="15" hidden="false" customHeight="false" outlineLevel="0" collapsed="false">
      <c r="A76" s="13" t="str">
        <f aca="false">"1. Collect the overdue Harrowgate June media invoice and move Harrowgate media to 30-day or prepaid terms: USD 60-day terms mean the agency funds about two months of client media (Harrowgate balance EUR "&amp;TEXT(INDEX(Clients!$E$203:$AB$203,Assumptions!$C$10)/1000,"#,##0")&amp;"k at "&amp;TEXT(Assumptions!$C$9,"mmm-yy")&amp;")."</f>
        <v>1. Collect the overdue Harrowgate June media invoice and move Harrowgate media to 30-day or prepaid terms: USD 60-day terms mean the agency funds about two months of client media (Harrowgate balance EUR 196k at Aug-26).</v>
      </c>
    </row>
    <row r="77" customFormat="false" ht="15" hidden="false" customHeight="false" outlineLevel="0" collapsed="false">
      <c r="A77" s="13" t="str">
        <f aca="false">"2. Draw the overdraft (EUR "&amp;TEXT(Assumptions!$C$14/1000,"#,##0")&amp;"k undrawn) for the weeks containing the 10th, when the TSD payroll taxes follow the month-end payroll."</f>
        <v>2. Draw the overdraft (EUR 300k undrawn) for the weeks containing the 10th, when the TSD payroll taxes follow the month-end payroll.</v>
      </c>
    </row>
    <row r="78" customFormat="false" ht="15" hidden="false" customHeight="false" outlineLevel="0" collapsed="false">
      <c r="A78" s="13" t="str">
        <f aca="false">"3. Settle the Norbeck CR-03 dispute (USD "&amp;TEXT(Assumptions!$C$95,"#,##0")&amp;" invoiced in May) and invoice the Norbeck completion milestone the day the site goes live."</f>
        <v>3. Settle the Norbeck CR-03 dispute (USD 16,500 invoiced in May) and invoice the Norbeck completion milestone the day the site goes live.</v>
      </c>
    </row>
    <row r="79" customFormat="false" ht="15" hidden="false" customHeight="false" outlineLevel="0" collapsed="false">
      <c r="A79" s="13" t="str">
        <f aca="false">"4. Move Quillfield and Ashgrove from 45-day to 30-day terms at the Q4 contract reviews; ask Quillfield to pay the campaign production costs on signature."</f>
        <v>4. Move Quillfield and Ashgrove from 45-day to 30-day terms at the Q4 contract reviews; ask Quillfield to pay the campaign production costs on signature.</v>
      </c>
    </row>
    <row r="80" customFormat="false" ht="15" hidden="false" customHeight="false" outlineLevel="0" collapsed="false">
      <c r="A80" s="13" t="str">
        <f aca="false">"5. Hold the January developer hires until the Ferncliff proposal is signed, and defer discretionary travel and awards spend to Q1."</f>
        <v>5. Hold the January developer hires until the Ferncliff proposal is signed, and defer discretionary travel and awards spend to Q1.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3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8"/>
    <col collapsed="false" customWidth="true" hidden="false" outlineLevel="0" max="3" min="3" style="0" width="9"/>
    <col collapsed="false" customWidth="true" hidden="false" outlineLevel="0" max="20" min="4" style="0" width="12"/>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642</v>
      </c>
    </row>
    <row r="3" customFormat="false" ht="15" hidden="false" customHeight="false" outlineLevel="0" collapsed="false">
      <c r="A3" s="25" t="s">
        <v>643</v>
      </c>
    </row>
    <row r="5" customFormat="false" ht="54" hidden="false" customHeight="true" outlineLevel="0" collapsed="false">
      <c r="A5" s="26" t="s">
        <v>644</v>
      </c>
      <c r="B5" s="27" t="s">
        <v>5</v>
      </c>
      <c r="C5" s="27" t="s">
        <v>152</v>
      </c>
      <c r="D5" s="27" t="s">
        <v>645</v>
      </c>
      <c r="E5" s="27" t="s">
        <v>646</v>
      </c>
      <c r="F5" s="27" t="s">
        <v>647</v>
      </c>
      <c r="G5" s="27" t="s">
        <v>648</v>
      </c>
      <c r="H5" s="27" t="s">
        <v>649</v>
      </c>
      <c r="I5" s="27" t="s">
        <v>650</v>
      </c>
      <c r="J5" s="27" t="s">
        <v>651</v>
      </c>
      <c r="K5" s="27" t="s">
        <v>652</v>
      </c>
      <c r="L5" s="27" t="s">
        <v>653</v>
      </c>
      <c r="M5" s="27" t="s">
        <v>654</v>
      </c>
      <c r="N5" s="27" t="s">
        <v>655</v>
      </c>
      <c r="O5" s="27" t="s">
        <v>656</v>
      </c>
      <c r="P5" s="27" t="s">
        <v>657</v>
      </c>
      <c r="Q5" s="27" t="s">
        <v>658</v>
      </c>
      <c r="R5" s="27" t="s">
        <v>659</v>
      </c>
      <c r="S5" s="27" t="s">
        <v>660</v>
      </c>
      <c r="T5" s="27" t="s">
        <v>661</v>
      </c>
    </row>
    <row r="6" customFormat="false" ht="15" hidden="false" customHeight="false" outlineLevel="0" collapsed="false">
      <c r="A6" s="0" t="s">
        <v>662</v>
      </c>
      <c r="B6" s="0" t="s">
        <v>663</v>
      </c>
      <c r="C6" s="0" t="s">
        <v>664</v>
      </c>
      <c r="D6" s="29" t="n">
        <f aca="false">SUMIFS(Clients!$E$17:$AB$17,Assumptions!$E$100:$AB$100,"A")</f>
        <v>476986.798391048</v>
      </c>
      <c r="E6" s="29" t="n">
        <f aca="false">Clients!$C$17</f>
        <v>737410.999773451</v>
      </c>
      <c r="F6" s="109" t="n">
        <f aca="false">IF($E$28=0,0,E6/$E$28)</f>
        <v>0.187270617117885</v>
      </c>
      <c r="G6" s="29" t="n">
        <f aca="false">Clients!$C$18</f>
        <v>7160.655</v>
      </c>
      <c r="H6" s="29" t="n">
        <f aca="false">Clients!$C$547</f>
        <v>788728.6875</v>
      </c>
      <c r="I6" s="109" t="n">
        <f aca="false">IF(H6=0,0,E6/H6)</f>
        <v>0.934936197275632</v>
      </c>
      <c r="J6" s="29" t="n">
        <f aca="false">Clients!$C$19</f>
        <v>385708.855509321</v>
      </c>
      <c r="K6" s="29" t="n">
        <f aca="false">E6-J6</f>
        <v>351702.144264129</v>
      </c>
      <c r="L6" s="109" t="n">
        <f aca="false">IF(E6=0,0,K6/E6)</f>
        <v>0.476941819924276</v>
      </c>
      <c r="M6" s="29" t="n">
        <f aca="false">Clients!$C$569</f>
        <v>706.455</v>
      </c>
      <c r="N6" s="29" t="n">
        <f aca="false">IF($G$28=0,0,G6/$G$28)*($J$28-(-PL!$C$21))</f>
        <v>-35978.8691402935</v>
      </c>
      <c r="O6" s="29" t="n">
        <f aca="false">-IF($E$28=0,0,E6/$E$28)*(-PL!$C$39)</f>
        <v>-183612.222436567</v>
      </c>
      <c r="P6" s="29" t="n">
        <f aca="false">K6+N6+O6</f>
        <v>132111.052687269</v>
      </c>
      <c r="Q6" s="109" t="n">
        <f aca="false">IF(E6=0,0,P6/E6)</f>
        <v>0.179155250908728</v>
      </c>
      <c r="R6" s="29" t="n">
        <f aca="false">Clients!$D$17</f>
        <v>654025.779936484</v>
      </c>
      <c r="S6" s="29" t="n">
        <f aca="false">INDEX(Clients!$E$27:$AB$27,Assumptions!$C$10)</f>
        <v>60375.5137306183</v>
      </c>
      <c r="T6" s="78" t="n">
        <f aca="false">INDEX(Clients!$E$28:$AB$28,Assumptions!$C$10)</f>
        <v>31.1286488712871</v>
      </c>
    </row>
    <row r="7" customFormat="false" ht="15" hidden="false" customHeight="false" outlineLevel="0" collapsed="false">
      <c r="A7" s="0" t="s">
        <v>665</v>
      </c>
      <c r="B7" s="0" t="s">
        <v>663</v>
      </c>
      <c r="C7" s="0" t="s">
        <v>664</v>
      </c>
      <c r="D7" s="29" t="n">
        <f aca="false">SUMIFS(Clients!$E$39:$AB$39,Assumptions!$E$100:$AB$100,"A")</f>
        <v>188094.437573955</v>
      </c>
      <c r="E7" s="29" t="n">
        <f aca="false">Clients!$C$39</f>
        <v>288009.204994093</v>
      </c>
      <c r="F7" s="109" t="n">
        <f aca="false">IF($E$28=0,0,E7/$E$28)</f>
        <v>0.0731419270548523</v>
      </c>
      <c r="G7" s="29" t="n">
        <f aca="false">Clients!$C$40</f>
        <v>3072.375</v>
      </c>
      <c r="H7" s="29" t="n">
        <f aca="false">Clients!$C$548</f>
        <v>316116.05625</v>
      </c>
      <c r="I7" s="109" t="n">
        <f aca="false">IF(H7=0,0,E7/H7)</f>
        <v>0.91108692298224</v>
      </c>
      <c r="J7" s="29" t="n">
        <f aca="false">Clients!$C$41</f>
        <v>143541.014147296</v>
      </c>
      <c r="K7" s="29" t="n">
        <f aca="false">E7-J7</f>
        <v>144468.190846797</v>
      </c>
      <c r="L7" s="109" t="n">
        <f aca="false">IF(E7=0,0,K7/E7)</f>
        <v>0.50160963032331</v>
      </c>
      <c r="M7" s="29" t="n">
        <f aca="false">Clients!$C$570</f>
        <v>192.375</v>
      </c>
      <c r="N7" s="29" t="n">
        <f aca="false">IF($G$28=0,0,G7/$G$28)*($J$28-(-PL!$C$21))</f>
        <v>-15437.2160193319</v>
      </c>
      <c r="O7" s="29" t="n">
        <f aca="false">-IF($E$28=0,0,E7/$E$28)*(-PL!$C$39)</f>
        <v>-71713.0748353373</v>
      </c>
      <c r="P7" s="29" t="n">
        <f aca="false">K7+N7+O7</f>
        <v>57317.8999921282</v>
      </c>
      <c r="Q7" s="109" t="n">
        <f aca="false">IF(E7=0,0,P7/E7)</f>
        <v>0.199014125237087</v>
      </c>
      <c r="R7" s="29" t="n">
        <f aca="false">Clients!$D$39</f>
        <v>271130.0906034</v>
      </c>
      <c r="S7" s="29" t="n">
        <f aca="false">INDEX(Clients!$E$49:$AB$49,Assumptions!$C$10)</f>
        <v>69053.3929572202</v>
      </c>
      <c r="T7" s="78" t="n">
        <f aca="false">INDEX(Clients!$E$50:$AB$50,Assumptions!$C$10)</f>
        <v>24.7448157406639</v>
      </c>
    </row>
    <row r="8" customFormat="false" ht="15" hidden="false" customHeight="false" outlineLevel="0" collapsed="false">
      <c r="A8" s="0" t="s">
        <v>666</v>
      </c>
      <c r="B8" s="0" t="s">
        <v>663</v>
      </c>
      <c r="C8" s="0" t="s">
        <v>664</v>
      </c>
      <c r="D8" s="29" t="n">
        <f aca="false">SUMIFS(Clients!$E$61:$AB$61,Assumptions!$E$100:$AB$100,"A")</f>
        <v>40126.8977378973</v>
      </c>
      <c r="E8" s="29" t="n">
        <f aca="false">Clients!$C$61</f>
        <v>93835.0987466774</v>
      </c>
      <c r="F8" s="109" t="n">
        <f aca="false">IF($E$28=0,0,E8/$E$28)</f>
        <v>0.023830071500163</v>
      </c>
      <c r="G8" s="29" t="n">
        <f aca="false">Clients!$C$62</f>
        <v>1033.55333333333</v>
      </c>
      <c r="H8" s="29" t="n">
        <f aca="false">Clients!$C$549</f>
        <v>105990.894333333</v>
      </c>
      <c r="I8" s="109" t="n">
        <f aca="false">IF(H8=0,0,E8/H8)</f>
        <v>0.885312831228436</v>
      </c>
      <c r="J8" s="29" t="n">
        <f aca="false">Clients!$C$63</f>
        <v>48084.6213829229</v>
      </c>
      <c r="K8" s="29" t="n">
        <f aca="false">E8-J8</f>
        <v>45750.4773637545</v>
      </c>
      <c r="L8" s="109" t="n">
        <f aca="false">IF(E8=0,0,K8/E8)</f>
        <v>0.48756252164518</v>
      </c>
      <c r="M8" s="29" t="n">
        <f aca="false">Clients!$C$571</f>
        <v>53.5533333333333</v>
      </c>
      <c r="N8" s="29" t="n">
        <f aca="false">IF($G$28=0,0,G8/$G$28)*($J$28-(-PL!$C$21))</f>
        <v>-5193.11154210253</v>
      </c>
      <c r="O8" s="29" t="n">
        <f aca="false">-IF($E$28=0,0,E8/$E$28)*(-PL!$C$39)</f>
        <v>-23364.5430143101</v>
      </c>
      <c r="P8" s="29" t="n">
        <f aca="false">K8+N8+O8</f>
        <v>17192.8228073419</v>
      </c>
      <c r="Q8" s="109" t="n">
        <f aca="false">IF(E8=0,0,P8/E8)</f>
        <v>0.183223794049139</v>
      </c>
      <c r="R8" s="29" t="n">
        <f aca="false">Clients!$D$61</f>
        <v>150221.838221558</v>
      </c>
      <c r="S8" s="29" t="n">
        <f aca="false">INDEX(Clients!$E$71:$AB$71,Assumptions!$C$10)</f>
        <v>14792.0325051373</v>
      </c>
      <c r="T8" s="78" t="n">
        <f aca="false">INDEX(Clients!$E$72:$AB$72,Assumptions!$C$10)</f>
        <v>33.4904375652174</v>
      </c>
    </row>
    <row r="9" customFormat="false" ht="15" hidden="false" customHeight="false" outlineLevel="0" collapsed="false">
      <c r="A9" s="0" t="s">
        <v>667</v>
      </c>
      <c r="B9" s="0" t="s">
        <v>663</v>
      </c>
      <c r="C9" s="0" t="s">
        <v>664</v>
      </c>
      <c r="D9" s="29" t="n">
        <f aca="false">SUMIFS(Clients!$E$83:$AB$83,Assumptions!$E$100:$AB$100,"A")</f>
        <v>161070.223236278</v>
      </c>
      <c r="E9" s="29" t="n">
        <f aca="false">Clients!$C$83</f>
        <v>246170.043601847</v>
      </c>
      <c r="F9" s="109" t="n">
        <f aca="false">IF($E$28=0,0,E9/$E$28)</f>
        <v>0.0625165830119401</v>
      </c>
      <c r="G9" s="29" t="n">
        <f aca="false">Clients!$C$84</f>
        <v>2637.7164556962</v>
      </c>
      <c r="H9" s="29" t="n">
        <f aca="false">Clients!$C$550</f>
        <v>290148.810126582</v>
      </c>
      <c r="I9" s="109" t="n">
        <f aca="false">IF(H9=0,0,E9/H9)</f>
        <v>0.848426858943351</v>
      </c>
      <c r="J9" s="29" t="n">
        <f aca="false">Clients!$C$85</f>
        <v>145231.878860439</v>
      </c>
      <c r="K9" s="29" t="n">
        <f aca="false">E9-J9</f>
        <v>100938.164741408</v>
      </c>
      <c r="L9" s="109" t="n">
        <f aca="false">IF(E9=0,0,K9/E9)</f>
        <v>0.410034313129766</v>
      </c>
      <c r="M9" s="29" t="n">
        <f aca="false">Clients!$C$572</f>
        <v>0</v>
      </c>
      <c r="N9" s="29" t="n">
        <f aca="false">IF($G$28=0,0,G9/$G$28)*($J$28-(-PL!$C$21))</f>
        <v>-13253.2645670951</v>
      </c>
      <c r="O9" s="29" t="n">
        <f aca="false">-IF($E$28=0,0,E9/$E$28)*(-PL!$C$39)</f>
        <v>-61295.3004727732</v>
      </c>
      <c r="P9" s="29" t="n">
        <f aca="false">K9+N9+O9</f>
        <v>26389.5997015394</v>
      </c>
      <c r="Q9" s="109" t="n">
        <f aca="false">IF(E9=0,0,P9/E9)</f>
        <v>0.107200694753183</v>
      </c>
      <c r="R9" s="29" t="n">
        <f aca="false">Clients!$D$83</f>
        <v>258086.622998612</v>
      </c>
      <c r="S9" s="29" t="n">
        <f aca="false">INDEX(Clients!$E$93:$AB$93,Assumptions!$C$10)</f>
        <v>28307.5845320381</v>
      </c>
      <c r="T9" s="78" t="n">
        <f aca="false">INDEX(Clients!$E$94:$AB$94,Assumptions!$C$10)</f>
        <v>46.3328344663695</v>
      </c>
    </row>
    <row r="10" customFormat="false" ht="15" hidden="false" customHeight="false" outlineLevel="0" collapsed="false">
      <c r="A10" s="0" t="s">
        <v>668</v>
      </c>
      <c r="B10" s="0" t="s">
        <v>663</v>
      </c>
      <c r="C10" s="0" t="s">
        <v>664</v>
      </c>
      <c r="D10" s="29" t="n">
        <f aca="false">SUMIFS(Clients!$E$105:$AB$105,Assumptions!$E$100:$AB$100,"A")</f>
        <v>157777.386853666</v>
      </c>
      <c r="E10" s="29" t="n">
        <f aca="false">Clients!$C$105</f>
        <v>185087.718506308</v>
      </c>
      <c r="F10" s="109" t="n">
        <f aca="false">IF($E$28=0,0,E10/$E$28)</f>
        <v>0.0470043046228855</v>
      </c>
      <c r="G10" s="29" t="n">
        <f aca="false">Clients!$C$106</f>
        <v>1681.4499424626</v>
      </c>
      <c r="H10" s="29" t="n">
        <f aca="false">Clients!$C$551</f>
        <v>182784.493670886</v>
      </c>
      <c r="I10" s="109" t="n">
        <f aca="false">IF(H10=0,0,E10/H10)</f>
        <v>1.01260076710648</v>
      </c>
      <c r="J10" s="29" t="n">
        <f aca="false">Clients!$C$107</f>
        <v>89365.2354695224</v>
      </c>
      <c r="K10" s="29" t="n">
        <f aca="false">E10-J10</f>
        <v>95722.4830367857</v>
      </c>
      <c r="L10" s="109" t="n">
        <f aca="false">IF(E10=0,0,K10/E10)</f>
        <v>0.517173607245709</v>
      </c>
      <c r="M10" s="29" t="n">
        <f aca="false">Clients!$C$573</f>
        <v>0</v>
      </c>
      <c r="N10" s="29" t="n">
        <f aca="false">IF($G$28=0,0,G10/$G$28)*($J$28-(-PL!$C$21))</f>
        <v>-8448.48235892052</v>
      </c>
      <c r="O10" s="29" t="n">
        <f aca="false">-IF($E$28=0,0,E10/$E$28)*(-PL!$C$39)</f>
        <v>-46086.0596751306</v>
      </c>
      <c r="P10" s="29" t="n">
        <f aca="false">K10+N10+O10</f>
        <v>41187.9410027346</v>
      </c>
      <c r="Q10" s="109" t="n">
        <f aca="false">IF(E10=0,0,P10/E10)</f>
        <v>0.222532004474034</v>
      </c>
      <c r="R10" s="29" t="n">
        <f aca="false">Clients!$D$105</f>
        <v>70597.7956286195</v>
      </c>
      <c r="S10" s="29" t="n">
        <f aca="false">INDEX(Clients!$E$115:$AB$115,Assumptions!$C$10)</f>
        <v>0</v>
      </c>
      <c r="T10" s="78" t="n">
        <f aca="false">INDEX(Clients!$E$116:$AB$116,Assumptions!$C$10)</f>
        <v>0</v>
      </c>
    </row>
    <row r="11" customFormat="false" ht="15" hidden="false" customHeight="false" outlineLevel="0" collapsed="false">
      <c r="A11" s="0" t="s">
        <v>669</v>
      </c>
      <c r="B11" s="0" t="s">
        <v>663</v>
      </c>
      <c r="C11" s="0" t="s">
        <v>664</v>
      </c>
      <c r="D11" s="29" t="n">
        <f aca="false">SUMIFS(Clients!$E$127:$AB$127,Assumptions!$E$100:$AB$100,"A")</f>
        <v>237268.878691817</v>
      </c>
      <c r="E11" s="29" t="n">
        <f aca="false">Clients!$C$127</f>
        <v>321333.88896643</v>
      </c>
      <c r="F11" s="109" t="n">
        <f aca="false">IF($E$28=0,0,E11/$E$28)</f>
        <v>0.0816049607425451</v>
      </c>
      <c r="G11" s="29" t="n">
        <f aca="false">Clients!$C$128</f>
        <v>3166.385</v>
      </c>
      <c r="H11" s="29" t="n">
        <f aca="false">Clients!$C$552</f>
        <v>348533.8025</v>
      </c>
      <c r="I11" s="109" t="n">
        <f aca="false">IF(H11=0,0,E11/H11)</f>
        <v>0.921959037147996</v>
      </c>
      <c r="J11" s="29" t="n">
        <f aca="false">Clients!$C$129</f>
        <v>170417.402902647</v>
      </c>
      <c r="K11" s="29" t="n">
        <f aca="false">E11-J11</f>
        <v>150916.486063783</v>
      </c>
      <c r="L11" s="109" t="n">
        <f aca="false">IF(E11=0,0,K11/E11)</f>
        <v>0.469656302200822</v>
      </c>
      <c r="M11" s="29" t="n">
        <f aca="false">Clients!$C$574</f>
        <v>193.185</v>
      </c>
      <c r="N11" s="29" t="n">
        <f aca="false">IF($G$28=0,0,G11/$G$28)*($J$28-(-PL!$C$21))</f>
        <v>-15909.5713398828</v>
      </c>
      <c r="O11" s="29" t="n">
        <f aca="false">-IF($E$28=0,0,E11/$E$28)*(-PL!$C$39)</f>
        <v>-80010.7803049286</v>
      </c>
      <c r="P11" s="29" t="n">
        <f aca="false">K11+N11+O11</f>
        <v>54996.1344189716</v>
      </c>
      <c r="Q11" s="109" t="n">
        <f aca="false">IF(E11=0,0,P11/E11)</f>
        <v>0.171149499966737</v>
      </c>
      <c r="R11" s="29" t="n">
        <f aca="false">Clients!$D$127</f>
        <v>244124.789837474</v>
      </c>
      <c r="S11" s="29" t="n">
        <f aca="false">INDEX(Clients!$E$137:$AB$137,Assumptions!$C$10)</f>
        <v>20668.4102372501</v>
      </c>
      <c r="T11" s="78" t="n">
        <f aca="false">INDEX(Clients!$E$138:$AB$138,Assumptions!$C$10)</f>
        <v>29.8968462222222</v>
      </c>
    </row>
    <row r="12" customFormat="false" ht="15" hidden="false" customHeight="false" outlineLevel="0" collapsed="false">
      <c r="A12" s="0" t="s">
        <v>670</v>
      </c>
      <c r="B12" s="0" t="s">
        <v>663</v>
      </c>
      <c r="C12" s="0" t="s">
        <v>664</v>
      </c>
      <c r="D12" s="29" t="n">
        <f aca="false">SUMIFS(Clients!$E$149:$AB$149,Assumptions!$E$100:$AB$100,"A")</f>
        <v>33553.7225155542</v>
      </c>
      <c r="E12" s="29" t="n">
        <f aca="false">Clients!$C$149</f>
        <v>67412.752965769</v>
      </c>
      <c r="F12" s="109" t="n">
        <f aca="false">IF($E$28=0,0,E12/$E$28)</f>
        <v>0.017119934274636</v>
      </c>
      <c r="G12" s="29" t="n">
        <f aca="false">Clients!$C$150</f>
        <v>560</v>
      </c>
      <c r="H12" s="29" t="n">
        <f aca="false">Clients!$C$553</f>
        <v>60788</v>
      </c>
      <c r="I12" s="109" t="n">
        <f aca="false">IF(H12=0,0,E12/H12)</f>
        <v>1.10898126218611</v>
      </c>
      <c r="J12" s="29" t="n">
        <f aca="false">Clients!$C$151</f>
        <v>29633.2048791715</v>
      </c>
      <c r="K12" s="29" t="n">
        <f aca="false">E12-J12</f>
        <v>37779.5480865976</v>
      </c>
      <c r="L12" s="109" t="n">
        <f aca="false">IF(E12=0,0,K12/E12)</f>
        <v>0.560421380592205</v>
      </c>
      <c r="M12" s="29" t="n">
        <f aca="false">Clients!$C$575</f>
        <v>0</v>
      </c>
      <c r="N12" s="29" t="n">
        <f aca="false">IF($G$28=0,0,G12/$G$28)*($J$28-(-PL!$C$21))</f>
        <v>-2813.73236366846</v>
      </c>
      <c r="O12" s="29" t="n">
        <f aca="false">-IF($E$28=0,0,E12/$E$28)*(-PL!$C$39)</f>
        <v>-16785.490583155</v>
      </c>
      <c r="P12" s="29" t="n">
        <f aca="false">K12+N12+O12</f>
        <v>18180.3251397742</v>
      </c>
      <c r="Q12" s="109" t="n">
        <f aca="false">IF(E12=0,0,P12/E12)</f>
        <v>0.269686733443534</v>
      </c>
      <c r="R12" s="29" t="n">
        <f aca="false">Clients!$D$149</f>
        <v>0</v>
      </c>
      <c r="S12" s="29" t="n">
        <f aca="false">INDEX(Clients!$E$159:$AB$159,Assumptions!$C$10)</f>
        <v>6104.88382682608</v>
      </c>
      <c r="T12" s="78" t="n">
        <f aca="false">INDEX(Clients!$E$160:$AB$160,Assumptions!$C$10)</f>
        <v>18.0211040980899</v>
      </c>
    </row>
    <row r="13" customFormat="false" ht="15" hidden="false" customHeight="false" outlineLevel="0" collapsed="false">
      <c r="A13" s="0" t="s">
        <v>671</v>
      </c>
      <c r="B13" s="0" t="s">
        <v>672</v>
      </c>
      <c r="C13" s="0" t="s">
        <v>664</v>
      </c>
      <c r="D13" s="29" t="n">
        <f aca="false">SUMIFS(Clients!$E$171:$AB$171,Assumptions!$E$100:$AB$100,"A")</f>
        <v>112516.439004724</v>
      </c>
      <c r="E13" s="29" t="n">
        <f aca="false">Clients!$C$171</f>
        <v>309286.497645635</v>
      </c>
      <c r="F13" s="109" t="n">
        <f aca="false">IF($E$28=0,0,E13/$E$28)</f>
        <v>0.0785454424983108</v>
      </c>
      <c r="G13" s="29" t="n">
        <f aca="false">Clients!$C$172</f>
        <v>3121.652</v>
      </c>
      <c r="H13" s="29" t="n">
        <f aca="false">Clients!$C$554</f>
        <v>343090.046</v>
      </c>
      <c r="I13" s="109" t="n">
        <f aca="false">IF(H13=0,0,E13/H13)</f>
        <v>0.901473246605455</v>
      </c>
      <c r="J13" s="29" t="n">
        <f aca="false">Clients!$C$173</f>
        <v>167701.160420161</v>
      </c>
      <c r="K13" s="29" t="n">
        <f aca="false">E13-J13</f>
        <v>141585.337225474</v>
      </c>
      <c r="L13" s="109" t="n">
        <f aca="false">IF(E13=0,0,K13/E13)</f>
        <v>0.457780531330194</v>
      </c>
      <c r="M13" s="29" t="n">
        <f aca="false">Clients!$C$576</f>
        <v>236.652</v>
      </c>
      <c r="N13" s="29" t="n">
        <f aca="false">IF($G$28=0,0,G13/$G$28)*($J$28-(-PL!$C$21))</f>
        <v>-15684.8093937685</v>
      </c>
      <c r="O13" s="29" t="n">
        <f aca="false">-IF($E$28=0,0,E13/$E$28)*(-PL!$C$39)</f>
        <v>-77011.0307817268</v>
      </c>
      <c r="P13" s="29" t="n">
        <f aca="false">K13+N13+O13</f>
        <v>48889.4970499783</v>
      </c>
      <c r="Q13" s="109" t="n">
        <f aca="false">IF(E13=0,0,P13/E13)</f>
        <v>0.158071876470965</v>
      </c>
      <c r="R13" s="29" t="n">
        <f aca="false">Clients!$D$171</f>
        <v>256143.497757848</v>
      </c>
      <c r="S13" s="29" t="n">
        <f aca="false">INDEX(Clients!$E$181:$AB$181,Assumptions!$C$10)</f>
        <v>31837.6854087616</v>
      </c>
      <c r="T13" s="78" t="n">
        <f aca="false">INDEX(Clients!$E$182:$AB$182,Assumptions!$C$10)</f>
        <v>43.1668073846154</v>
      </c>
    </row>
    <row r="14" customFormat="false" ht="15" hidden="false" customHeight="false" outlineLevel="0" collapsed="false">
      <c r="A14" s="0" t="s">
        <v>673</v>
      </c>
      <c r="B14" s="0" t="s">
        <v>672</v>
      </c>
      <c r="C14" s="0" t="s">
        <v>664</v>
      </c>
      <c r="D14" s="29" t="n">
        <f aca="false">SUMIFS(Clients!$E$193:$AB$193,Assumptions!$E$100:$AB$100,"A")</f>
        <v>127302.737678021</v>
      </c>
      <c r="E14" s="29" t="n">
        <f aca="false">Clients!$C$193</f>
        <v>197727.884280297</v>
      </c>
      <c r="F14" s="109" t="n">
        <f aca="false">IF($E$28=0,0,E14/$E$28)</f>
        <v>0.0502143620341453</v>
      </c>
      <c r="G14" s="29" t="n">
        <f aca="false">Clients!$C$194</f>
        <v>2055.465</v>
      </c>
      <c r="H14" s="29" t="n">
        <f aca="false">Clients!$C$555</f>
        <v>212309.802</v>
      </c>
      <c r="I14" s="109" t="n">
        <f aca="false">IF(H14=0,0,E14/H14)</f>
        <v>0.931317736711455</v>
      </c>
      <c r="J14" s="29" t="n">
        <f aca="false">Clients!$C$195</f>
        <v>96510.8716421634</v>
      </c>
      <c r="K14" s="29" t="n">
        <f aca="false">E14-J14</f>
        <v>101217.012638134</v>
      </c>
      <c r="L14" s="109" t="n">
        <f aca="false">IF(E14=0,0,K14/E14)</f>
        <v>0.511900549619241</v>
      </c>
      <c r="M14" s="29" t="n">
        <f aca="false">Clients!$C$577</f>
        <v>75.465</v>
      </c>
      <c r="N14" s="29" t="n">
        <f aca="false">IF($G$28=0,0,G14/$G$28)*($J$28-(-PL!$C$21))</f>
        <v>-10327.7292730139</v>
      </c>
      <c r="O14" s="29" t="n">
        <f aca="false">-IF($E$28=0,0,E14/$E$28)*(-PL!$C$39)</f>
        <v>-49233.4075319456</v>
      </c>
      <c r="P14" s="29" t="n">
        <f aca="false">K14+N14+O14</f>
        <v>41655.8758331743</v>
      </c>
      <c r="Q14" s="109" t="n">
        <f aca="false">IF(E14=0,0,P14/E14)</f>
        <v>0.210672743426128</v>
      </c>
      <c r="R14" s="29" t="n">
        <f aca="false">Clients!$D$193</f>
        <v>189541.221110728</v>
      </c>
      <c r="S14" s="29" t="n">
        <f aca="false">INDEX(Clients!$E$203:$AB$203,Assumptions!$C$10)</f>
        <v>195607.200758882</v>
      </c>
      <c r="T14" s="78" t="n">
        <f aca="false">INDEX(Clients!$E$204:$AB$204,Assumptions!$C$10)</f>
        <v>63.9795402952465</v>
      </c>
    </row>
    <row r="15" customFormat="false" ht="15" hidden="false" customHeight="false" outlineLevel="0" collapsed="false">
      <c r="A15" s="0" t="s">
        <v>674</v>
      </c>
      <c r="B15" s="0" t="s">
        <v>672</v>
      </c>
      <c r="C15" s="0" t="s">
        <v>664</v>
      </c>
      <c r="D15" s="29" t="n">
        <f aca="false">SUMIFS(Clients!$E$215:$AB$215,Assumptions!$E$100:$AB$100,"A")</f>
        <v>164949.048124691</v>
      </c>
      <c r="E15" s="29" t="n">
        <f aca="false">Clients!$C$215</f>
        <v>195585.431360289</v>
      </c>
      <c r="F15" s="109" t="n">
        <f aca="false">IF($E$28=0,0,E15/$E$28)</f>
        <v>0.0496702713159445</v>
      </c>
      <c r="G15" s="29" t="n">
        <f aca="false">Clients!$C$216</f>
        <v>2950</v>
      </c>
      <c r="H15" s="29" t="n">
        <f aca="false">Clients!$C$556</f>
        <v>320222.5</v>
      </c>
      <c r="I15" s="109" t="n">
        <f aca="false">IF(H15=0,0,E15/H15)</f>
        <v>0.610779790178046</v>
      </c>
      <c r="J15" s="29" t="n">
        <f aca="false">Clients!$C$217</f>
        <v>156103.489988493</v>
      </c>
      <c r="K15" s="29" t="n">
        <f aca="false">E15-J15</f>
        <v>39481.9413717967</v>
      </c>
      <c r="L15" s="109" t="n">
        <f aca="false">IF(E15=0,0,K15/E15)</f>
        <v>0.201865451313021</v>
      </c>
      <c r="M15" s="29" t="n">
        <f aca="false">Clients!$C$578</f>
        <v>0</v>
      </c>
      <c r="N15" s="29" t="n">
        <f aca="false">IF($G$28=0,0,G15/$G$28)*($J$28-(-PL!$C$21))</f>
        <v>-14822.3401300392</v>
      </c>
      <c r="O15" s="29" t="n">
        <f aca="false">-IF($E$28=0,0,E15/$E$28)*(-PL!$C$39)</f>
        <v>-48699.9458094744</v>
      </c>
      <c r="P15" s="29" t="n">
        <f aca="false">K15+N15+O15</f>
        <v>-24040.3445677169</v>
      </c>
      <c r="Q15" s="109" t="n">
        <f aca="false">IF(E15=0,0,P15/E15)</f>
        <v>-0.122914801989684</v>
      </c>
      <c r="R15" s="29" t="n">
        <f aca="false">Clients!$D$215</f>
        <v>0</v>
      </c>
      <c r="S15" s="29" t="n">
        <f aca="false">INDEX(Clients!$E$228:$AB$228,Assumptions!$C$10)</f>
        <v>14229.0444981028</v>
      </c>
      <c r="T15" s="78" t="n">
        <f aca="false">INDEX(Clients!$E$229:$AB$229,Assumptions!$C$10)</f>
        <v>22.2933333333333</v>
      </c>
    </row>
    <row r="16" customFormat="false" ht="15" hidden="false" customHeight="false" outlineLevel="0" collapsed="false">
      <c r="A16" s="0" t="s">
        <v>675</v>
      </c>
      <c r="B16" s="0" t="s">
        <v>524</v>
      </c>
      <c r="C16" s="0" t="s">
        <v>664</v>
      </c>
      <c r="D16" s="29" t="n">
        <f aca="false">SUMIFS(Clients!$E$240:$AB$240,Assumptions!$E$100:$AB$100,"A")</f>
        <v>148000</v>
      </c>
      <c r="E16" s="29" t="n">
        <f aca="false">Clients!$C$240</f>
        <v>263343.75</v>
      </c>
      <c r="F16" s="109" t="n">
        <f aca="false">IF($E$28=0,0,E16/$E$28)</f>
        <v>0.0668779643805006</v>
      </c>
      <c r="G16" s="29" t="n">
        <f aca="false">Clients!$C$241</f>
        <v>3234.1125</v>
      </c>
      <c r="H16" s="29" t="n">
        <f aca="false">Clients!$C$557</f>
        <v>334138.861875</v>
      </c>
      <c r="I16" s="109" t="n">
        <f aca="false">IF(H16=0,0,E16/H16)</f>
        <v>0.788126674407947</v>
      </c>
      <c r="J16" s="29" t="n">
        <f aca="false">Clients!$C$242</f>
        <v>153105.593671346</v>
      </c>
      <c r="K16" s="29" t="n">
        <f aca="false">E16-J16</f>
        <v>110238.156328654</v>
      </c>
      <c r="L16" s="109" t="n">
        <f aca="false">IF(E16=0,0,K16/E16)</f>
        <v>0.418609351194603</v>
      </c>
      <c r="M16" s="29" t="n">
        <f aca="false">Clients!$C$579</f>
        <v>540.675</v>
      </c>
      <c r="N16" s="29" t="n">
        <f aca="false">IF($G$28=0,0,G16/$G$28)*($J$28-(-PL!$C$21))</f>
        <v>-16249.8696589191</v>
      </c>
      <c r="O16" s="29" t="n">
        <f aca="false">-IF($E$28=0,0,E16/$E$28)*(-PL!$C$39)</f>
        <v>-65571.4807849828</v>
      </c>
      <c r="P16" s="29" t="n">
        <f aca="false">K16+N16+O16</f>
        <v>28416.8058847517</v>
      </c>
      <c r="Q16" s="109" t="n">
        <f aca="false">IF(E16=0,0,P16/E16)</f>
        <v>0.10790765258242</v>
      </c>
      <c r="R16" s="29" t="n">
        <f aca="false">Clients!$D$240</f>
        <v>203904.25</v>
      </c>
      <c r="S16" s="29" t="n">
        <f aca="false">INDEX(Clients!$E$250:$AB$250,Assumptions!$C$10)</f>
        <v>19171.34</v>
      </c>
      <c r="T16" s="78" t="n">
        <f aca="false">INDEX(Clients!$E$251:$AB$251,Assumptions!$C$10)</f>
        <v>31.5031749189189</v>
      </c>
    </row>
    <row r="17" customFormat="false" ht="15" hidden="false" customHeight="false" outlineLevel="0" collapsed="false">
      <c r="A17" s="0" t="s">
        <v>676</v>
      </c>
      <c r="B17" s="0" t="s">
        <v>524</v>
      </c>
      <c r="C17" s="0" t="s">
        <v>664</v>
      </c>
      <c r="D17" s="29" t="n">
        <f aca="false">SUMIFS(Clients!$E$262:$AB$262,Assumptions!$E$100:$AB$100,"A")</f>
        <v>158048.9</v>
      </c>
      <c r="E17" s="29" t="n">
        <f aca="false">Clients!$C$262</f>
        <v>240648.9</v>
      </c>
      <c r="F17" s="109" t="n">
        <f aca="false">IF($E$28=0,0,E17/$E$28)</f>
        <v>0.0611144504565103</v>
      </c>
      <c r="G17" s="29" t="n">
        <f aca="false">Clients!$C$263</f>
        <v>2608.695</v>
      </c>
      <c r="H17" s="29" t="n">
        <f aca="false">Clients!$C$558</f>
        <v>268821.846</v>
      </c>
      <c r="I17" s="109" t="n">
        <f aca="false">IF(H17=0,0,E17/H17)</f>
        <v>0.895198450500931</v>
      </c>
      <c r="J17" s="29" t="n">
        <f aca="false">Clients!$C$264</f>
        <v>122123.960460207</v>
      </c>
      <c r="K17" s="29" t="n">
        <f aca="false">E17-J17</f>
        <v>118524.939539793</v>
      </c>
      <c r="L17" s="109" t="n">
        <f aca="false">IF(E17=0,0,K17/E17)</f>
        <v>0.492522257694894</v>
      </c>
      <c r="M17" s="29" t="n">
        <f aca="false">Clients!$C$580</f>
        <v>88.6950000000001</v>
      </c>
      <c r="N17" s="29" t="n">
        <f aca="false">IF($G$28=0,0,G17/$G$28)*($J$28-(-PL!$C$21))</f>
        <v>-13107.4456222145</v>
      </c>
      <c r="O17" s="29" t="n">
        <f aca="false">-IF($E$28=0,0,E17/$E$28)*(-PL!$C$39)</f>
        <v>-59920.5590498246</v>
      </c>
      <c r="P17" s="29" t="n">
        <f aca="false">K17+N17+O17</f>
        <v>45496.9348677538</v>
      </c>
      <c r="Q17" s="109" t="n">
        <f aca="false">IF(E17=0,0,P17/E17)</f>
        <v>0.189059392616188</v>
      </c>
      <c r="R17" s="29" t="n">
        <f aca="false">Clients!$D$262</f>
        <v>235468</v>
      </c>
      <c r="S17" s="29" t="n">
        <f aca="false">INDEX(Clients!$E$272:$AB$272,Assumptions!$C$10)</f>
        <v>31062.21</v>
      </c>
      <c r="T17" s="78" t="n">
        <f aca="false">INDEX(Clients!$E$273:$AB$273,Assumptions!$C$10)</f>
        <v>16.688191361128</v>
      </c>
    </row>
    <row r="18" customFormat="false" ht="15" hidden="false" customHeight="false" outlineLevel="0" collapsed="false">
      <c r="A18" s="0" t="s">
        <v>677</v>
      </c>
      <c r="B18" s="0" t="s">
        <v>524</v>
      </c>
      <c r="C18" s="0" t="s">
        <v>664</v>
      </c>
      <c r="D18" s="29" t="n">
        <f aca="false">SUMIFS(Clients!$E$284:$AB$284,Assumptions!$E$100:$AB$100,"A")</f>
        <v>134349.79</v>
      </c>
      <c r="E18" s="29" t="n">
        <f aca="false">Clients!$C$284</f>
        <v>204299.79</v>
      </c>
      <c r="F18" s="109" t="n">
        <f aca="false">IF($E$28=0,0,E18/$E$28)</f>
        <v>0.0518833428876279</v>
      </c>
      <c r="G18" s="29" t="n">
        <f aca="false">Clients!$C$285</f>
        <v>2340.42</v>
      </c>
      <c r="H18" s="29" t="n">
        <f aca="false">Clients!$C$559</f>
        <v>241171.176</v>
      </c>
      <c r="I18" s="109" t="n">
        <f aca="false">IF(H18=0,0,E18/H18)</f>
        <v>0.84711528711043</v>
      </c>
      <c r="J18" s="29" t="n">
        <f aca="false">Clients!$C$286</f>
        <v>109561.800565616</v>
      </c>
      <c r="K18" s="29" t="n">
        <f aca="false">E18-J18</f>
        <v>94737.9894343843</v>
      </c>
      <c r="L18" s="109" t="n">
        <f aca="false">IF(E18=0,0,K18/E18)</f>
        <v>0.463720444521183</v>
      </c>
      <c r="M18" s="29" t="n">
        <f aca="false">Clients!$C$581</f>
        <v>120.42</v>
      </c>
      <c r="N18" s="29" t="n">
        <f aca="false">IF($G$28=0,0,G18/$G$28)*($J$28-(-PL!$C$21))</f>
        <v>-11759.4919617445</v>
      </c>
      <c r="O18" s="29" t="n">
        <f aca="false">-IF($E$28=0,0,E18/$E$28)*(-PL!$C$39)</f>
        <v>-50869.7842814231</v>
      </c>
      <c r="P18" s="29" t="n">
        <f aca="false">K18+N18+O18</f>
        <v>32108.7131912167</v>
      </c>
      <c r="Q18" s="109" t="n">
        <f aca="false">IF(E18=0,0,P18/E18)</f>
        <v>0.157164690140977</v>
      </c>
      <c r="R18" s="29" t="n">
        <f aca="false">Clients!$D$284</f>
        <v>183125</v>
      </c>
      <c r="S18" s="29" t="n">
        <f aca="false">INDEX(Clients!$E$294:$AB$294,Assumptions!$C$10)</f>
        <v>37007.38</v>
      </c>
      <c r="T18" s="78" t="n">
        <f aca="false">INDEX(Clients!$E$295:$AB$295,Assumptions!$C$10)</f>
        <v>26.0551534047906</v>
      </c>
    </row>
    <row r="19" customFormat="false" ht="15" hidden="false" customHeight="false" outlineLevel="0" collapsed="false">
      <c r="A19" s="0" t="s">
        <v>678</v>
      </c>
      <c r="B19" s="0" t="s">
        <v>524</v>
      </c>
      <c r="C19" s="0" t="s">
        <v>664</v>
      </c>
      <c r="D19" s="29" t="n">
        <f aca="false">SUMIFS(Clients!$E$306:$AB$306,Assumptions!$E$100:$AB$100,"A")</f>
        <v>69973.33</v>
      </c>
      <c r="E19" s="29" t="n">
        <f aca="false">Clients!$C$306</f>
        <v>96000</v>
      </c>
      <c r="F19" s="109" t="n">
        <f aca="false">IF($E$28=0,0,E19/$E$28)</f>
        <v>0.0243798631276727</v>
      </c>
      <c r="G19" s="29" t="n">
        <f aca="false">Clients!$C$307</f>
        <v>990</v>
      </c>
      <c r="H19" s="29" t="n">
        <f aca="false">Clients!$C$560</f>
        <v>107464.5</v>
      </c>
      <c r="I19" s="109" t="n">
        <f aca="false">IF(H19=0,0,E19/H19)</f>
        <v>0.89331825858772</v>
      </c>
      <c r="J19" s="29" t="n">
        <f aca="false">Clients!$C$308</f>
        <v>52387.2729113924</v>
      </c>
      <c r="K19" s="29" t="n">
        <f aca="false">E19-J19</f>
        <v>43612.7270886076</v>
      </c>
      <c r="L19" s="109" t="n">
        <f aca="false">IF(E19=0,0,K19/E19)</f>
        <v>0.454299240506329</v>
      </c>
      <c r="M19" s="29" t="n">
        <f aca="false">Clients!$C$582</f>
        <v>0</v>
      </c>
      <c r="N19" s="29" t="n">
        <f aca="false">IF($G$28=0,0,G19/$G$28)*($J$28-(-PL!$C$21))</f>
        <v>-4974.2768571996</v>
      </c>
      <c r="O19" s="29" t="n">
        <f aca="false">-IF($E$28=0,0,E19/$E$28)*(-PL!$C$39)</f>
        <v>-23903.5942769037</v>
      </c>
      <c r="P19" s="29" t="n">
        <f aca="false">K19+N19+O19</f>
        <v>14734.8559545043</v>
      </c>
      <c r="Q19" s="109" t="n">
        <f aca="false">IF(E19=0,0,P19/E19)</f>
        <v>0.15348808285942</v>
      </c>
      <c r="R19" s="29" t="n">
        <f aca="false">Clients!$D$306</f>
        <v>0</v>
      </c>
      <c r="S19" s="29" t="n">
        <f aca="false">INDEX(Clients!$E$316:$AB$316,Assumptions!$C$10)</f>
        <v>35674.26</v>
      </c>
      <c r="T19" s="78" t="n">
        <f aca="false">INDEX(Clients!$E$317:$AB$317,Assumptions!$C$10)</f>
        <v>84.7263675</v>
      </c>
    </row>
    <row r="20" customFormat="false" ht="15" hidden="false" customHeight="false" outlineLevel="0" collapsed="false">
      <c r="A20" s="0" t="s">
        <v>679</v>
      </c>
      <c r="B20" s="0" t="s">
        <v>524</v>
      </c>
      <c r="C20" s="0" t="s">
        <v>680</v>
      </c>
      <c r="D20" s="29" t="n">
        <f aca="false">SUMIFS(Clients!$E$328:$AB$328,Assumptions!$E$100:$AB$100,"A")</f>
        <v>108000</v>
      </c>
      <c r="E20" s="29" t="n">
        <f aca="false">Clients!$C$328</f>
        <v>121500</v>
      </c>
      <c r="F20" s="109" t="n">
        <f aca="false">IF($E$28=0,0,E20/$E$28)</f>
        <v>0.0308557642709607</v>
      </c>
      <c r="G20" s="29" t="n">
        <f aca="false">Clients!$C$329</f>
        <v>1504.57875</v>
      </c>
      <c r="H20" s="29" t="n">
        <f aca="false">Clients!$C$561</f>
        <v>154294.5508125</v>
      </c>
      <c r="I20" s="109" t="n">
        <f aca="false">IF(H20=0,0,E20/H20)</f>
        <v>0.787454899477609</v>
      </c>
      <c r="J20" s="29" t="n">
        <f aca="false">Clients!$C$330</f>
        <v>69998.4192409436</v>
      </c>
      <c r="K20" s="29" t="n">
        <f aca="false">E20-J20</f>
        <v>51501.5807590564</v>
      </c>
      <c r="L20" s="109" t="n">
        <f aca="false">IF(E20=0,0,K20/E20)</f>
        <v>0.423881323119806</v>
      </c>
      <c r="M20" s="29" t="n">
        <f aca="false">Clients!$C$583</f>
        <v>244.57875</v>
      </c>
      <c r="N20" s="29" t="n">
        <f aca="false">IF($G$28=0,0,G20/$G$28)*($J$28-(-PL!$C$21))</f>
        <v>-7559.78914743364</v>
      </c>
      <c r="O20" s="29" t="n">
        <f aca="false">-IF($E$28=0,0,E20/$E$28)*(-PL!$C$39)</f>
        <v>-30252.9865067062</v>
      </c>
      <c r="P20" s="29" t="n">
        <f aca="false">K20+N20+O20</f>
        <v>13688.8051049166</v>
      </c>
      <c r="Q20" s="109" t="n">
        <f aca="false">IF(E20=0,0,P20/E20)</f>
        <v>0.112665062591906</v>
      </c>
      <c r="R20" s="29" t="n">
        <f aca="false">Clients!$D$328</f>
        <v>0</v>
      </c>
      <c r="S20" s="29" t="n">
        <f aca="false">INDEX(Clients!$E$338:$AB$338,Assumptions!$C$10)</f>
        <v>10590.69</v>
      </c>
      <c r="T20" s="78" t="n">
        <f aca="false">INDEX(Clients!$E$339:$AB$339,Assumptions!$C$10)</f>
        <v>23.8486648888889</v>
      </c>
    </row>
    <row r="21" customFormat="false" ht="15" hidden="false" customHeight="false" outlineLevel="0" collapsed="false">
      <c r="A21" s="0" t="s">
        <v>681</v>
      </c>
      <c r="B21" s="0" t="s">
        <v>524</v>
      </c>
      <c r="C21" s="0" t="s">
        <v>664</v>
      </c>
      <c r="D21" s="29" t="n">
        <f aca="false">SUMIFS(Clients!$E$350:$AB$350,Assumptions!$E$100:$AB$100,"A")</f>
        <v>64007.71</v>
      </c>
      <c r="E21" s="29" t="n">
        <f aca="false">Clients!$C$350</f>
        <v>98247.4033542618</v>
      </c>
      <c r="F21" s="109" t="n">
        <f aca="false">IF($E$28=0,0,E21/$E$28)</f>
        <v>0.0249506067336058</v>
      </c>
      <c r="G21" s="29" t="n">
        <f aca="false">Clients!$C$351</f>
        <v>1084.45673187572</v>
      </c>
      <c r="H21" s="29" t="n">
        <f aca="false">Clients!$C$562</f>
        <v>119021.990506329</v>
      </c>
      <c r="I21" s="109" t="n">
        <f aca="false">IF(H21=0,0,E21/H21)</f>
        <v>0.825455892111277</v>
      </c>
      <c r="J21" s="29" t="n">
        <f aca="false">Clients!$C$352</f>
        <v>59313.3594421746</v>
      </c>
      <c r="K21" s="29" t="n">
        <f aca="false">E21-J21</f>
        <v>38934.0439120873</v>
      </c>
      <c r="L21" s="109" t="n">
        <f aca="false">IF(E21=0,0,K21/E21)</f>
        <v>0.39628572952405</v>
      </c>
      <c r="M21" s="29" t="n">
        <f aca="false">Clients!$C$584</f>
        <v>0</v>
      </c>
      <c r="N21" s="29" t="n">
        <f aca="false">IF($G$28=0,0,G21/$G$28)*($J$28-(-PL!$C$21))</f>
        <v>-5448.87679192293</v>
      </c>
      <c r="O21" s="29" t="n">
        <f aca="false">-IF($E$28=0,0,E21/$E$28)*(-PL!$C$39)</f>
        <v>-24463.1882139539</v>
      </c>
      <c r="P21" s="29" t="n">
        <f aca="false">K21+N21+O21</f>
        <v>9021.97890621039</v>
      </c>
      <c r="Q21" s="109" t="n">
        <f aca="false">IF(E21=0,0,P21/E21)</f>
        <v>0.0918291842653471</v>
      </c>
      <c r="R21" s="29" t="n">
        <f aca="false">Clients!$D$350</f>
        <v>103840.487469287</v>
      </c>
      <c r="S21" s="29" t="n">
        <f aca="false">INDEX(Clients!$E$360:$AB$360,Assumptions!$C$10)</f>
        <v>5867.45</v>
      </c>
      <c r="T21" s="78" t="n">
        <f aca="false">INDEX(Clients!$E$361:$AB$361,Assumptions!$C$10)</f>
        <v>22.7698178496067</v>
      </c>
    </row>
    <row r="22" customFormat="false" ht="15" hidden="false" customHeight="false" outlineLevel="0" collapsed="false">
      <c r="A22" s="0" t="s">
        <v>682</v>
      </c>
      <c r="B22" s="0" t="s">
        <v>524</v>
      </c>
      <c r="C22" s="0" t="s">
        <v>664</v>
      </c>
      <c r="D22" s="29" t="n">
        <f aca="false">SUMIFS(Clients!$E$372:$AB$372,Assumptions!$E$100:$AB$100,"A")</f>
        <v>91544.86</v>
      </c>
      <c r="E22" s="29" t="n">
        <f aca="false">Clients!$C$372</f>
        <v>139820.86</v>
      </c>
      <c r="F22" s="109" t="n">
        <f aca="false">IF($E$28=0,0,E22/$E$28)</f>
        <v>0.0355084732207655</v>
      </c>
      <c r="G22" s="29" t="n">
        <f aca="false">Clients!$C$373</f>
        <v>1561.29</v>
      </c>
      <c r="H22" s="29" t="n">
        <f aca="false">Clients!$C$563</f>
        <v>160932.612</v>
      </c>
      <c r="I22" s="109" t="n">
        <f aca="false">IF(H22=0,0,E22/H22)</f>
        <v>0.868816197428027</v>
      </c>
      <c r="J22" s="29" t="n">
        <f aca="false">Clients!$C$374</f>
        <v>73115.9299404373</v>
      </c>
      <c r="K22" s="29" t="n">
        <f aca="false">E22-J22</f>
        <v>66704.9300595627</v>
      </c>
      <c r="L22" s="109" t="n">
        <f aca="false">IF(E22=0,0,K22/E22)</f>
        <v>0.477074236702325</v>
      </c>
      <c r="M22" s="29" t="n">
        <f aca="false">Clients!$C$585</f>
        <v>61.29</v>
      </c>
      <c r="N22" s="29" t="n">
        <f aca="false">IF($G$28=0,0,G22/$G$28)*($J$28-(-PL!$C$21))</f>
        <v>-7844.73607512845</v>
      </c>
      <c r="O22" s="29" t="n">
        <f aca="false">-IF($E$28=0,0,E22/$E$28)*(-PL!$C$39)</f>
        <v>-34814.8032175807</v>
      </c>
      <c r="P22" s="29" t="n">
        <f aca="false">K22+N22+O22</f>
        <v>24045.3907668535</v>
      </c>
      <c r="Q22" s="109" t="n">
        <f aca="false">IF(E22=0,0,P22/E22)</f>
        <v>0.171972842727856</v>
      </c>
      <c r="R22" s="29" t="n">
        <f aca="false">Clients!$D$372</f>
        <v>136800</v>
      </c>
      <c r="S22" s="29" t="n">
        <f aca="false">INDEX(Clients!$E$382:$AB$382,Assumptions!$C$10)</f>
        <v>19726.5996</v>
      </c>
      <c r="T22" s="78" t="n">
        <f aca="false">INDEX(Clients!$E$383:$AB$383,Assumptions!$C$10)</f>
        <v>14.7837645663355</v>
      </c>
    </row>
    <row r="23" customFormat="false" ht="15" hidden="false" customHeight="false" outlineLevel="0" collapsed="false">
      <c r="A23" s="0" t="s">
        <v>683</v>
      </c>
      <c r="B23" s="0" t="s">
        <v>524</v>
      </c>
      <c r="C23" s="0" t="s">
        <v>664</v>
      </c>
      <c r="D23" s="29" t="n">
        <f aca="false">SUMIFS(Clients!$E$394:$AB$394,Assumptions!$E$100:$AB$100,"A")</f>
        <v>74612.99</v>
      </c>
      <c r="E23" s="29" t="n">
        <f aca="false">Clients!$C$394</f>
        <v>114069.58046459</v>
      </c>
      <c r="F23" s="109" t="n">
        <f aca="false">IF($E$28=0,0,E23/$E$28)</f>
        <v>0.0289687579037266</v>
      </c>
      <c r="G23" s="29" t="n">
        <f aca="false">Clients!$C$395</f>
        <v>1427.60897583429</v>
      </c>
      <c r="H23" s="29" t="n">
        <f aca="false">Clients!$C$564</f>
        <v>157036.987341772</v>
      </c>
      <c r="I23" s="109" t="n">
        <f aca="false">IF(H23=0,0,E23/H23)</f>
        <v>0.726386709242781</v>
      </c>
      <c r="J23" s="29" t="n">
        <f aca="false">Clients!$C$396</f>
        <v>78603.7230767161</v>
      </c>
      <c r="K23" s="29" t="n">
        <f aca="false">E23-J23</f>
        <v>35465.8573878741</v>
      </c>
      <c r="L23" s="109" t="n">
        <f aca="false">IF(E23=0,0,K23/E23)</f>
        <v>0.310914244125615</v>
      </c>
      <c r="M23" s="29" t="n">
        <f aca="false">Clients!$C$586</f>
        <v>0</v>
      </c>
      <c r="N23" s="29" t="n">
        <f aca="false">IF($G$28=0,0,G23/$G$28)*($J$28-(-PL!$C$21))</f>
        <v>-7173.05281780095</v>
      </c>
      <c r="O23" s="29" t="n">
        <f aca="false">-IF($E$28=0,0,E23/$E$28)*(-PL!$C$39)</f>
        <v>-28402.8434454394</v>
      </c>
      <c r="P23" s="29" t="n">
        <f aca="false">K23+N23+O23</f>
        <v>-110.038875366226</v>
      </c>
      <c r="Q23" s="109" t="n">
        <f aca="false">IF(E23=0,0,P23/E23)</f>
        <v>-0.000964664504928069</v>
      </c>
      <c r="R23" s="29" t="n">
        <f aca="false">Clients!$D$394</f>
        <v>119662.040933819</v>
      </c>
      <c r="S23" s="29" t="n">
        <f aca="false">INDEX(Clients!$E$404:$AB$404,Assumptions!$C$10)</f>
        <v>6973.4732</v>
      </c>
      <c r="T23" s="78" t="n">
        <f aca="false">INDEX(Clients!$E$405:$AB$405,Assumptions!$C$10)</f>
        <v>19.0507070111024</v>
      </c>
    </row>
    <row r="24" customFormat="false" ht="15" hidden="false" customHeight="false" outlineLevel="0" collapsed="false">
      <c r="A24" s="0" t="s">
        <v>684</v>
      </c>
      <c r="B24" s="0" t="s">
        <v>672</v>
      </c>
      <c r="C24" s="0" t="s">
        <v>685</v>
      </c>
      <c r="D24" s="29" t="n">
        <f aca="false">SUMIFS(Clients!$E$416:$AB$416,Assumptions!$E$100:$AB$100,"A")</f>
        <v>0</v>
      </c>
      <c r="E24" s="29" t="n">
        <f aca="false">Clients!$C$416</f>
        <v>17886.1165408251</v>
      </c>
      <c r="F24" s="109" t="n">
        <f aca="false">IF($E$28=0,0,E24/$E$28)</f>
        <v>0.00454230284532206</v>
      </c>
      <c r="G24" s="29" t="n">
        <f aca="false">Clients!$C$417</f>
        <v>194.444444444444</v>
      </c>
      <c r="H24" s="29" t="n">
        <f aca="false">Clients!$C$565</f>
        <v>21106.9444444444</v>
      </c>
      <c r="I24" s="109" t="n">
        <f aca="false">IF(H24=0,0,E24/H24)</f>
        <v>0.847404350160824</v>
      </c>
      <c r="J24" s="29" t="n">
        <f aca="false">Clients!$C$418</f>
        <v>10289.3072497123</v>
      </c>
      <c r="K24" s="29" t="n">
        <f aca="false">E24-J24</f>
        <v>7596.80929111275</v>
      </c>
      <c r="L24" s="109" t="n">
        <f aca="false">IF(E24=0,0,K24/E24)</f>
        <v>0.424732181173763</v>
      </c>
      <c r="M24" s="29" t="n">
        <f aca="false">Clients!$C$587</f>
        <v>0</v>
      </c>
      <c r="N24" s="29" t="n">
        <f aca="false">IF($G$28=0,0,G24/$G$28)*($J$28-(-PL!$C$21))</f>
        <v>-976.990404051549</v>
      </c>
      <c r="O24" s="29" t="n">
        <f aca="false">-IF($E$28=0,0,E24/$E$28)*(-PL!$C$39)</f>
        <v>-4453.56742688852</v>
      </c>
      <c r="P24" s="29" t="n">
        <f aca="false">K24+N24+O24</f>
        <v>2166.25146017268</v>
      </c>
      <c r="Q24" s="109" t="n">
        <f aca="false">IF(E24=0,0,P24/E24)</f>
        <v>0.121113571815783</v>
      </c>
      <c r="R24" s="29" t="n">
        <f aca="false">Clients!$D$416</f>
        <v>120954.863107329</v>
      </c>
      <c r="S24" s="29" t="n">
        <f aca="false">INDEX(Clients!$E$426:$AB$426,Assumptions!$C$10)</f>
        <v>0</v>
      </c>
      <c r="T24" s="78" t="n">
        <f aca="false">INDEX(Clients!$E$427:$AB$427,Assumptions!$C$10)</f>
        <v>0</v>
      </c>
    </row>
    <row r="25" customFormat="false" ht="15" hidden="false" customHeight="false" outlineLevel="0" collapsed="false">
      <c r="A25" s="0" t="s">
        <v>686</v>
      </c>
      <c r="B25" s="0" t="s">
        <v>663</v>
      </c>
      <c r="C25" s="0" t="s">
        <v>685</v>
      </c>
      <c r="D25" s="29" t="n">
        <f aca="false">SUMIFS(Clients!$E$438:$AB$438,Assumptions!$E$100:$AB$100,"A")</f>
        <v>0</v>
      </c>
      <c r="E25" s="29" t="n">
        <f aca="false">Clients!$C$438</f>
        <v>0</v>
      </c>
      <c r="F25" s="109" t="n">
        <f aca="false">IF($E$28=0,0,E25/$E$28)</f>
        <v>0</v>
      </c>
      <c r="G25" s="29" t="n">
        <f aca="false">Clients!$C$439</f>
        <v>0</v>
      </c>
      <c r="H25" s="29" t="n">
        <f aca="false">Clients!$C$566</f>
        <v>0</v>
      </c>
      <c r="I25" s="109" t="n">
        <f aca="false">IF(H25=0,0,E25/H25)</f>
        <v>0</v>
      </c>
      <c r="J25" s="29" t="n">
        <f aca="false">Clients!$C$440</f>
        <v>0</v>
      </c>
      <c r="K25" s="29" t="n">
        <f aca="false">E25-J25</f>
        <v>0</v>
      </c>
      <c r="L25" s="109" t="n">
        <f aca="false">IF(E25=0,0,K25/E25)</f>
        <v>0</v>
      </c>
      <c r="M25" s="29" t="n">
        <f aca="false">Clients!$C$588</f>
        <v>0</v>
      </c>
      <c r="N25" s="29" t="n">
        <f aca="false">IF($G$28=0,0,G25/$G$28)*($J$28-(-PL!$C$21))</f>
        <v>-0</v>
      </c>
      <c r="O25" s="29" t="n">
        <f aca="false">-IF($E$28=0,0,E25/$E$28)*(-PL!$C$39)</f>
        <v>-0</v>
      </c>
      <c r="P25" s="29" t="n">
        <f aca="false">K25+N25+O25</f>
        <v>0</v>
      </c>
      <c r="Q25" s="109" t="n">
        <f aca="false">IF(E25=0,0,P25/E25)</f>
        <v>0</v>
      </c>
      <c r="R25" s="29" t="n">
        <f aca="false">Clients!$D$438</f>
        <v>169297.590136372</v>
      </c>
      <c r="S25" s="29" t="n">
        <f aca="false">INDEX(Clients!$E$448:$AB$448,Assumptions!$C$10)</f>
        <v>0</v>
      </c>
      <c r="T25" s="78" t="n">
        <f aca="false">INDEX(Clients!$E$449:$AB$449,Assumptions!$C$10)</f>
        <v>0</v>
      </c>
    </row>
    <row r="26" customFormat="false" ht="15" hidden="false" customHeight="false" outlineLevel="0" collapsed="false">
      <c r="A26" s="0" t="s">
        <v>687</v>
      </c>
      <c r="B26" s="0" t="s">
        <v>524</v>
      </c>
      <c r="C26" s="0" t="s">
        <v>685</v>
      </c>
      <c r="D26" s="29" t="n">
        <f aca="false">SUMIFS(Clients!$E$460:$AB$460,Assumptions!$E$100:$AB$100,"A")</f>
        <v>0</v>
      </c>
      <c r="E26" s="29" t="n">
        <f aca="false">Clients!$C$460</f>
        <v>0</v>
      </c>
      <c r="F26" s="109" t="n">
        <f aca="false">IF($E$28=0,0,E26/$E$28)</f>
        <v>0</v>
      </c>
      <c r="G26" s="29" t="n">
        <f aca="false">Clients!$C$461</f>
        <v>0</v>
      </c>
      <c r="H26" s="29" t="n">
        <f aca="false">Clients!$C$567</f>
        <v>0</v>
      </c>
      <c r="I26" s="109" t="n">
        <f aca="false">IF(H26=0,0,E26/H26)</f>
        <v>0</v>
      </c>
      <c r="J26" s="29" t="n">
        <f aca="false">Clients!$C$462</f>
        <v>0</v>
      </c>
      <c r="K26" s="29" t="n">
        <f aca="false">E26-J26</f>
        <v>0</v>
      </c>
      <c r="L26" s="109" t="n">
        <f aca="false">IF(E26=0,0,K26/E26)</f>
        <v>0</v>
      </c>
      <c r="M26" s="29" t="n">
        <f aca="false">Clients!$C$589</f>
        <v>0</v>
      </c>
      <c r="N26" s="29" t="n">
        <f aca="false">IF($G$28=0,0,G26/$G$28)*($J$28-(-PL!$C$21))</f>
        <v>-0</v>
      </c>
      <c r="O26" s="29" t="n">
        <f aca="false">-IF($E$28=0,0,E26/$E$28)*(-PL!$C$39)</f>
        <v>-0</v>
      </c>
      <c r="P26" s="29" t="n">
        <f aca="false">K26+N26+O26</f>
        <v>0</v>
      </c>
      <c r="Q26" s="109" t="n">
        <f aca="false">IF(E26=0,0,P26/E26)</f>
        <v>0</v>
      </c>
      <c r="R26" s="29" t="n">
        <f aca="false">Clients!$D$460</f>
        <v>78100</v>
      </c>
      <c r="S26" s="29" t="n">
        <f aca="false">INDEX(Clients!$E$470:$AB$470,Assumptions!$C$10)</f>
        <v>0</v>
      </c>
      <c r="T26" s="78" t="n">
        <f aca="false">INDEX(Clients!$E$471:$AB$471,Assumptions!$C$10)</f>
        <v>0</v>
      </c>
    </row>
    <row r="27" customFormat="false" ht="15" hidden="false" customHeight="false" outlineLevel="0" collapsed="false">
      <c r="A27" s="0" t="s">
        <v>688</v>
      </c>
      <c r="B27" s="0" t="s">
        <v>524</v>
      </c>
      <c r="C27" s="0" t="s">
        <v>685</v>
      </c>
      <c r="D27" s="29" t="n">
        <f aca="false">SUMIFS(Clients!$E$482:$AB$482,Assumptions!$E$100:$AB$100,"A")</f>
        <v>0</v>
      </c>
      <c r="E27" s="29" t="n">
        <f aca="false">Clients!$C$482</f>
        <v>0</v>
      </c>
      <c r="F27" s="109" t="n">
        <f aca="false">IF($E$28=0,0,E27/$E$28)</f>
        <v>0</v>
      </c>
      <c r="G27" s="29" t="n">
        <f aca="false">Clients!$C$483</f>
        <v>0</v>
      </c>
      <c r="H27" s="29" t="n">
        <f aca="false">Clients!$C$568</f>
        <v>0</v>
      </c>
      <c r="I27" s="109" t="n">
        <f aca="false">IF(H27=0,0,E27/H27)</f>
        <v>0</v>
      </c>
      <c r="J27" s="29" t="n">
        <f aca="false">Clients!$C$484</f>
        <v>0</v>
      </c>
      <c r="K27" s="29" t="n">
        <f aca="false">E27-J27</f>
        <v>0</v>
      </c>
      <c r="L27" s="109" t="n">
        <f aca="false">IF(E27=0,0,K27/E27)</f>
        <v>0</v>
      </c>
      <c r="M27" s="29" t="n">
        <f aca="false">Clients!$C$590</f>
        <v>0</v>
      </c>
      <c r="N27" s="29" t="n">
        <f aca="false">IF($G$28=0,0,G27/$G$28)*($J$28-(-PL!$C$21))</f>
        <v>-0</v>
      </c>
      <c r="O27" s="29" t="n">
        <f aca="false">-IF($E$28=0,0,E27/$E$28)*(-PL!$C$39)</f>
        <v>-0</v>
      </c>
      <c r="P27" s="29" t="n">
        <f aca="false">K27+N27+O27</f>
        <v>0</v>
      </c>
      <c r="Q27" s="109" t="n">
        <f aca="false">IF(E27=0,0,P27/E27)</f>
        <v>0</v>
      </c>
      <c r="R27" s="29" t="n">
        <f aca="false">Clients!$D$482</f>
        <v>744192</v>
      </c>
      <c r="S27" s="29" t="n">
        <f aca="false">INDEX(Clients!$E$492:$AB$492,Assumptions!$C$10)</f>
        <v>0</v>
      </c>
      <c r="T27" s="78" t="n">
        <f aca="false">INDEX(Clients!$E$493:$AB$493,Assumptions!$C$10)</f>
        <v>0</v>
      </c>
    </row>
    <row r="28" customFormat="false" ht="15" hidden="false" customHeight="false" outlineLevel="0" collapsed="false">
      <c r="A28" s="79" t="s">
        <v>499</v>
      </c>
      <c r="D28" s="80" t="n">
        <f aca="false">SUM(D6:D27)</f>
        <v>2548184.14980765</v>
      </c>
      <c r="E28" s="80" t="n">
        <f aca="false">SUM(E6:E27)</f>
        <v>3937675.92120047</v>
      </c>
      <c r="F28" s="37" t="n">
        <f aca="false">IF(E28=0,0,E28/E28)</f>
        <v>1</v>
      </c>
      <c r="G28" s="80" t="n">
        <f aca="false">SUM(G6:G27)</f>
        <v>42384.8581336466</v>
      </c>
      <c r="H28" s="80" t="n">
        <f aca="false">SUM(H6:H27)</f>
        <v>4532702.56136085</v>
      </c>
      <c r="I28" s="37" t="n">
        <f aca="false">IF(H28=0,0,E28/H28)</f>
        <v>0.868725857894869</v>
      </c>
      <c r="J28" s="80" t="n">
        <f aca="false">SUM(J6:J27)</f>
        <v>2160797.10176068</v>
      </c>
      <c r="K28" s="80" t="n">
        <f aca="false">SUM(K6:K27)</f>
        <v>1776878.81943979</v>
      </c>
      <c r="L28" s="37" t="n">
        <f aca="false">IF(E28=0,0,K28/E28)</f>
        <v>0.451250650129195</v>
      </c>
      <c r="M28" s="80" t="n">
        <f aca="false">SUM(M6:M27)</f>
        <v>2513.34408333333</v>
      </c>
      <c r="N28" s="80" t="n">
        <f aca="false">SUM(N6:N27)</f>
        <v>-212963.655464532</v>
      </c>
      <c r="O28" s="80" t="n">
        <f aca="false">SUM(O6:O27)</f>
        <v>-980464.662649051</v>
      </c>
      <c r="P28" s="80" t="n">
        <f aca="false">SUM(P6:P27)</f>
        <v>583450.501326208</v>
      </c>
      <c r="Q28" s="37" t="n">
        <f aca="false">IF(E28=0,0,P28/E28)</f>
        <v>0.14817128504276</v>
      </c>
      <c r="R28" s="80" t="n">
        <f aca="false">SUM(R6:R27)</f>
        <v>4189215.86774153</v>
      </c>
      <c r="S28" s="80" t="n">
        <f aca="false">SUM(S6:S27)</f>
        <v>607049.151254837</v>
      </c>
    </row>
    <row r="29" customFormat="false" ht="15" hidden="false" customHeight="false" outlineLevel="0" collapsed="false">
      <c r="A29" s="14" t="s">
        <v>689</v>
      </c>
      <c r="P29" s="29" t="n">
        <f aca="false">PL!$C$40</f>
        <v>583450.501326207</v>
      </c>
    </row>
    <row r="30" customFormat="false" ht="15" hidden="false" customHeight="false" outlineLevel="0" collapsed="false">
      <c r="A30" s="5" t="s">
        <v>690</v>
      </c>
      <c r="P30" s="36" t="n">
        <f aca="false">ROUND(P28-P29,0)</f>
        <v>0</v>
      </c>
    </row>
    <row r="31" customFormat="false" ht="15" hidden="false" customHeight="false" outlineLevel="0" collapsed="false">
      <c r="A31" s="5" t="s">
        <v>691</v>
      </c>
      <c r="E31" s="36" t="n">
        <f aca="false">ROUND(E28-PL!$C$16,0)</f>
        <v>0</v>
      </c>
    </row>
    <row r="33" customFormat="false" ht="15" hidden="false" customHeight="false" outlineLevel="0" collapsed="false">
      <c r="A33" s="20" t="s">
        <v>692</v>
      </c>
    </row>
    <row r="34" customFormat="false" ht="15" hidden="false" customHeight="false" outlineLevel="0" collapsed="false">
      <c r="A34" s="0" t="s">
        <v>693</v>
      </c>
      <c r="E34" s="109" t="n">
        <f aca="false">MAX(F6:F27)</f>
        <v>0.187270617117885</v>
      </c>
    </row>
    <row r="35" customFormat="false" ht="15" hidden="false" customHeight="false" outlineLevel="0" collapsed="false">
      <c r="A35" s="0" t="s">
        <v>694</v>
      </c>
      <c r="E35" s="109" t="n">
        <f aca="false">LARGE(F6:F27,1)+LARGE(F6:F27,2)+LARGE(F6:F27,3)+LARGE(F6:F27,4)+LARGE(F6:F27,5)</f>
        <v>0.487440911794094</v>
      </c>
    </row>
    <row r="36" customFormat="false" ht="15" hidden="false" customHeight="false" outlineLevel="0" collapsed="false">
      <c r="A36" s="0" t="s">
        <v>695</v>
      </c>
      <c r="E36" s="109" t="n">
        <f aca="false">IF(R28=0,0,MAX(R6:R27)/R28)</f>
        <v>0.177644700940466</v>
      </c>
    </row>
    <row r="38" customFormat="false" ht="15" hidden="false" customHeight="false" outlineLevel="0" collapsed="false">
      <c r="A38" s="25" t="s">
        <v>696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9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697</v>
      </c>
    </row>
    <row r="3" customFormat="false" ht="15" hidden="false" customHeight="false" outlineLevel="0" collapsed="false">
      <c r="A3" s="49" t="s">
        <v>698</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699</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331</v>
      </c>
      <c r="B9" s="58" t="s">
        <v>49</v>
      </c>
      <c r="C9" s="59" t="n">
        <f aca="false">SUM(E9:P9)</f>
        <v>504000</v>
      </c>
      <c r="D9" s="59" t="n">
        <f aca="false">SUM(Q9:AB9)</f>
        <v>560160</v>
      </c>
      <c r="E9" s="60" t="n">
        <f aca="false">Retainers!E10+Retainers!E130</f>
        <v>42000</v>
      </c>
      <c r="F9" s="60" t="n">
        <f aca="false">Retainers!F10+Retainers!F130</f>
        <v>42000</v>
      </c>
      <c r="G9" s="60" t="n">
        <f aca="false">Retainers!G10+Retainers!G130</f>
        <v>42000</v>
      </c>
      <c r="H9" s="60" t="n">
        <f aca="false">Retainers!H10+Retainers!H130</f>
        <v>42000</v>
      </c>
      <c r="I9" s="60" t="n">
        <f aca="false">Retainers!I10+Retainers!I130</f>
        <v>42000</v>
      </c>
      <c r="J9" s="60" t="n">
        <f aca="false">Retainers!J10+Retainers!J130</f>
        <v>42000</v>
      </c>
      <c r="K9" s="60" t="n">
        <f aca="false">Retainers!K10+Retainers!K130</f>
        <v>42000</v>
      </c>
      <c r="L9" s="60" t="n">
        <f aca="false">Retainers!L10+Retainers!L130</f>
        <v>42000</v>
      </c>
      <c r="M9" s="60" t="n">
        <f aca="false">Retainers!M10+Retainers!M130</f>
        <v>42000</v>
      </c>
      <c r="N9" s="60" t="n">
        <f aca="false">Retainers!N10+Retainers!N130</f>
        <v>42000</v>
      </c>
      <c r="O9" s="60" t="n">
        <f aca="false">Retainers!O10+Retainers!O130</f>
        <v>42000</v>
      </c>
      <c r="P9" s="60" t="n">
        <f aca="false">Retainers!P10+Retainers!P130</f>
        <v>42000</v>
      </c>
      <c r="Q9" s="60" t="n">
        <f aca="false">Retainers!Q10+Retainers!Q130</f>
        <v>43680</v>
      </c>
      <c r="R9" s="60" t="n">
        <f aca="false">Retainers!R10+Retainers!R130</f>
        <v>43680</v>
      </c>
      <c r="S9" s="60" t="n">
        <f aca="false">Retainers!S10+Retainers!S130</f>
        <v>47280</v>
      </c>
      <c r="T9" s="60" t="n">
        <f aca="false">Retainers!T10+Retainers!T130</f>
        <v>47280</v>
      </c>
      <c r="U9" s="60" t="n">
        <f aca="false">Retainers!U10+Retainers!U130</f>
        <v>47280</v>
      </c>
      <c r="V9" s="60" t="n">
        <f aca="false">Retainers!V10+Retainers!V130</f>
        <v>47280</v>
      </c>
      <c r="W9" s="60" t="n">
        <f aca="false">Retainers!W10+Retainers!W130</f>
        <v>47280</v>
      </c>
      <c r="X9" s="60" t="n">
        <f aca="false">Retainers!X10+Retainers!X130</f>
        <v>47280</v>
      </c>
      <c r="Y9" s="60" t="n">
        <f aca="false">Retainers!Y10+Retainers!Y130</f>
        <v>47280</v>
      </c>
      <c r="Z9" s="60" t="n">
        <f aca="false">Retainers!Z10+Retainers!Z130</f>
        <v>47280</v>
      </c>
      <c r="AA9" s="60" t="n">
        <f aca="false">Retainers!AA10+Retainers!AA130</f>
        <v>47280</v>
      </c>
      <c r="AB9" s="60" t="n">
        <f aca="false">Retainers!AB10+Retainers!AB130</f>
        <v>47280</v>
      </c>
    </row>
    <row r="10" customFormat="false" ht="15" hidden="false" customHeight="false" outlineLevel="0" collapsed="false">
      <c r="A10" s="28" t="s">
        <v>700</v>
      </c>
      <c r="B10" s="58" t="s">
        <v>51</v>
      </c>
      <c r="C10" s="59" t="n">
        <f aca="false">SUM(E10:P10)</f>
        <v>131949</v>
      </c>
      <c r="D10" s="59" t="n">
        <f aca="false">SUM(Q10:AB10)</f>
        <v>0</v>
      </c>
      <c r="E10" s="60" t="n">
        <f aca="false">Projects!E54+Projects!E146</f>
        <v>23398.5</v>
      </c>
      <c r="F10" s="60" t="n">
        <f aca="false">Projects!F54+Projects!F146</f>
        <v>14877</v>
      </c>
      <c r="G10" s="60" t="n">
        <f aca="false">Projects!G54+Projects!G146</f>
        <v>8673.5</v>
      </c>
      <c r="H10" s="60" t="n">
        <f aca="false">Projects!H54+Projects!H146</f>
        <v>0</v>
      </c>
      <c r="I10" s="60" t="n">
        <f aca="false">Projects!I54+Projects!I146</f>
        <v>0</v>
      </c>
      <c r="J10" s="60" t="n">
        <f aca="false">Projects!J54+Projects!J146</f>
        <v>0</v>
      </c>
      <c r="K10" s="60" t="n">
        <f aca="false">Projects!K54+Projects!K146</f>
        <v>8234.38</v>
      </c>
      <c r="L10" s="60" t="n">
        <f aca="false">Projects!L54+Projects!L146</f>
        <v>21717.5</v>
      </c>
      <c r="M10" s="60" t="n">
        <f aca="false">Projects!M54+Projects!M146</f>
        <v>25145.4348148148</v>
      </c>
      <c r="N10" s="60" t="n">
        <f aca="false">Projects!N54+Projects!N146</f>
        <v>21067.8009259259</v>
      </c>
      <c r="O10" s="60" t="n">
        <f aca="false">Projects!O54+Projects!O146</f>
        <v>8834.88425925926</v>
      </c>
      <c r="P10" s="60" t="n">
        <f aca="false">Projects!P54+Projects!P146</f>
        <v>0</v>
      </c>
      <c r="Q10" s="60" t="n">
        <f aca="false">Projects!Q54+Projects!Q146</f>
        <v>0</v>
      </c>
      <c r="R10" s="60" t="n">
        <f aca="false">Projects!R54+Projects!R146</f>
        <v>0</v>
      </c>
      <c r="S10" s="60" t="n">
        <f aca="false">Projects!S54+Projects!S146</f>
        <v>0</v>
      </c>
      <c r="T10" s="60" t="n">
        <f aca="false">Projects!T54+Projects!T146</f>
        <v>0</v>
      </c>
      <c r="U10" s="60" t="n">
        <f aca="false">Projects!U54+Projects!U146</f>
        <v>0</v>
      </c>
      <c r="V10" s="60" t="n">
        <f aca="false">Projects!V54+Projects!V146</f>
        <v>0</v>
      </c>
      <c r="W10" s="60" t="n">
        <f aca="false">Projects!W54+Projects!W146</f>
        <v>0</v>
      </c>
      <c r="X10" s="60" t="n">
        <f aca="false">Projects!X54+Projects!X146</f>
        <v>0</v>
      </c>
      <c r="Y10" s="60" t="n">
        <f aca="false">Projects!Y54+Projects!Y146</f>
        <v>0</v>
      </c>
      <c r="Z10" s="60" t="n">
        <f aca="false">Projects!Z54+Projects!Z146</f>
        <v>0</v>
      </c>
      <c r="AA10" s="60" t="n">
        <f aca="false">Projects!AA54+Projects!AA146</f>
        <v>0</v>
      </c>
      <c r="AB10" s="60" t="n">
        <f aca="false">Projects!AB54+Projects!AB146</f>
        <v>0</v>
      </c>
    </row>
    <row r="11" customFormat="false" ht="15" hidden="false" customHeight="false" outlineLevel="0" collapsed="false">
      <c r="A11" s="28" t="s">
        <v>333</v>
      </c>
      <c r="B11" s="58" t="s">
        <v>53</v>
      </c>
      <c r="C11" s="59" t="n">
        <f aca="false">SUM(E11:P11)</f>
        <v>0</v>
      </c>
      <c r="D11" s="59" t="n">
        <f aca="false">SUM(Q11:AB11)</f>
        <v>0</v>
      </c>
      <c r="E11" s="71" t="n">
        <f aca="false">0</f>
        <v>0</v>
      </c>
      <c r="F11" s="71" t="n">
        <f aca="false">0</f>
        <v>0</v>
      </c>
      <c r="G11" s="71" t="n">
        <f aca="false">0</f>
        <v>0</v>
      </c>
      <c r="H11" s="71" t="n">
        <f aca="false">0</f>
        <v>0</v>
      </c>
      <c r="I11" s="71" t="n">
        <f aca="false">0</f>
        <v>0</v>
      </c>
      <c r="J11" s="71" t="n">
        <f aca="false">0</f>
        <v>0</v>
      </c>
      <c r="K11" s="71" t="n">
        <f aca="false">0</f>
        <v>0</v>
      </c>
      <c r="L11" s="71" t="n">
        <f aca="false">0</f>
        <v>0</v>
      </c>
      <c r="M11" s="71" t="n">
        <f aca="false">0</f>
        <v>0</v>
      </c>
      <c r="N11" s="71" t="n">
        <f aca="false">0</f>
        <v>0</v>
      </c>
      <c r="O11" s="71" t="n">
        <f aca="false">0</f>
        <v>0</v>
      </c>
      <c r="P11" s="71" t="n">
        <f aca="false">0</f>
        <v>0</v>
      </c>
      <c r="Q11" s="71" t="n">
        <f aca="false">0</f>
        <v>0</v>
      </c>
      <c r="R11" s="71" t="n">
        <f aca="false">0</f>
        <v>0</v>
      </c>
      <c r="S11" s="71" t="n">
        <f aca="false">0</f>
        <v>0</v>
      </c>
      <c r="T11" s="71" t="n">
        <f aca="false">0</f>
        <v>0</v>
      </c>
      <c r="U11" s="71" t="n">
        <f aca="false">0</f>
        <v>0</v>
      </c>
      <c r="V11" s="71" t="n">
        <f aca="false">0</f>
        <v>0</v>
      </c>
      <c r="W11" s="71" t="n">
        <f aca="false">0</f>
        <v>0</v>
      </c>
      <c r="X11" s="71" t="n">
        <f aca="false">0</f>
        <v>0</v>
      </c>
      <c r="Y11" s="71" t="n">
        <f aca="false">0</f>
        <v>0</v>
      </c>
      <c r="Z11" s="71" t="n">
        <f aca="false">0</f>
        <v>0</v>
      </c>
      <c r="AA11" s="71" t="n">
        <f aca="false">0</f>
        <v>0</v>
      </c>
      <c r="AB11" s="71" t="n">
        <f aca="false">0</f>
        <v>0</v>
      </c>
    </row>
    <row r="12" customFormat="false" ht="15" hidden="false" customHeight="false" outlineLevel="0" collapsed="false">
      <c r="A12" s="28" t="s">
        <v>334</v>
      </c>
      <c r="B12" s="58" t="s">
        <v>53</v>
      </c>
      <c r="C12" s="59" t="n">
        <f aca="false">SUM(E12:P12)</f>
        <v>0</v>
      </c>
      <c r="D12" s="59" t="n">
        <f aca="false">SUM(Q12:AB12)</f>
        <v>0</v>
      </c>
      <c r="E12" s="71" t="n">
        <f aca="false">0</f>
        <v>0</v>
      </c>
      <c r="F12" s="71" t="n">
        <f aca="false">0</f>
        <v>0</v>
      </c>
      <c r="G12" s="71" t="n">
        <f aca="false">0</f>
        <v>0</v>
      </c>
      <c r="H12" s="71" t="n">
        <f aca="false">0</f>
        <v>0</v>
      </c>
      <c r="I12" s="71" t="n">
        <f aca="false">0</f>
        <v>0</v>
      </c>
      <c r="J12" s="71" t="n">
        <f aca="false">0</f>
        <v>0</v>
      </c>
      <c r="K12" s="71" t="n">
        <f aca="false">0</f>
        <v>0</v>
      </c>
      <c r="L12" s="71" t="n">
        <f aca="false">0</f>
        <v>0</v>
      </c>
      <c r="M12" s="71" t="n">
        <f aca="false">0</f>
        <v>0</v>
      </c>
      <c r="N12" s="71" t="n">
        <f aca="false">0</f>
        <v>0</v>
      </c>
      <c r="O12" s="71" t="n">
        <f aca="false">0</f>
        <v>0</v>
      </c>
      <c r="P12" s="71" t="n">
        <f aca="false">0</f>
        <v>0</v>
      </c>
      <c r="Q12" s="71" t="n">
        <f aca="false">0</f>
        <v>0</v>
      </c>
      <c r="R12" s="71" t="n">
        <f aca="false">0</f>
        <v>0</v>
      </c>
      <c r="S12" s="71" t="n">
        <f aca="false">0</f>
        <v>0</v>
      </c>
      <c r="T12" s="71" t="n">
        <f aca="false">0</f>
        <v>0</v>
      </c>
      <c r="U12" s="71" t="n">
        <f aca="false">0</f>
        <v>0</v>
      </c>
      <c r="V12" s="71" t="n">
        <f aca="false">0</f>
        <v>0</v>
      </c>
      <c r="W12" s="71" t="n">
        <f aca="false">0</f>
        <v>0</v>
      </c>
      <c r="X12" s="71" t="n">
        <f aca="false">0</f>
        <v>0</v>
      </c>
      <c r="Y12" s="71" t="n">
        <f aca="false">0</f>
        <v>0</v>
      </c>
      <c r="Z12" s="71" t="n">
        <f aca="false">0</f>
        <v>0</v>
      </c>
      <c r="AA12" s="71" t="n">
        <f aca="false">0</f>
        <v>0</v>
      </c>
      <c r="AB12" s="71" t="n">
        <f aca="false">0</f>
        <v>0</v>
      </c>
    </row>
    <row r="13" customFormat="false" ht="15" hidden="false" customHeight="false" outlineLevel="0" collapsed="false">
      <c r="A13" s="28" t="s">
        <v>701</v>
      </c>
      <c r="B13" s="58" t="s">
        <v>51</v>
      </c>
      <c r="C13" s="59" t="n">
        <f aca="false">SUM(E13:P13)</f>
        <v>0</v>
      </c>
      <c r="D13" s="59" t="n">
        <f aca="false">SUM(Q13:AB13)</f>
        <v>0</v>
      </c>
      <c r="E13" s="71" t="n">
        <f aca="false">0</f>
        <v>0</v>
      </c>
      <c r="F13" s="71" t="n">
        <f aca="false">0</f>
        <v>0</v>
      </c>
      <c r="G13" s="71" t="n">
        <f aca="false">0</f>
        <v>0</v>
      </c>
      <c r="H13" s="71" t="n">
        <f aca="false">0</f>
        <v>0</v>
      </c>
      <c r="I13" s="71" t="n">
        <f aca="false">0</f>
        <v>0</v>
      </c>
      <c r="J13" s="71" t="n">
        <f aca="false">0</f>
        <v>0</v>
      </c>
      <c r="K13" s="71" t="n">
        <f aca="false">0</f>
        <v>0</v>
      </c>
      <c r="L13" s="71" t="n">
        <f aca="false">0</f>
        <v>0</v>
      </c>
      <c r="M13" s="71" t="n">
        <f aca="false">0</f>
        <v>0</v>
      </c>
      <c r="N13" s="71" t="n">
        <f aca="false">0</f>
        <v>0</v>
      </c>
      <c r="O13" s="71" t="n">
        <f aca="false">0</f>
        <v>0</v>
      </c>
      <c r="P13" s="71" t="n">
        <f aca="false">0</f>
        <v>0</v>
      </c>
      <c r="Q13" s="71" t="n">
        <f aca="false">0</f>
        <v>0</v>
      </c>
      <c r="R13" s="71" t="n">
        <f aca="false">0</f>
        <v>0</v>
      </c>
      <c r="S13" s="71" t="n">
        <f aca="false">0</f>
        <v>0</v>
      </c>
      <c r="T13" s="71" t="n">
        <f aca="false">0</f>
        <v>0</v>
      </c>
      <c r="U13" s="71" t="n">
        <f aca="false">0</f>
        <v>0</v>
      </c>
      <c r="V13" s="71" t="n">
        <f aca="false">0</f>
        <v>0</v>
      </c>
      <c r="W13" s="71" t="n">
        <f aca="false">0</f>
        <v>0</v>
      </c>
      <c r="X13" s="71" t="n">
        <f aca="false">0</f>
        <v>0</v>
      </c>
      <c r="Y13" s="71" t="n">
        <f aca="false">0</f>
        <v>0</v>
      </c>
      <c r="Z13" s="71" t="n">
        <f aca="false">0</f>
        <v>0</v>
      </c>
      <c r="AA13" s="71" t="n">
        <f aca="false">0</f>
        <v>0</v>
      </c>
      <c r="AB13" s="71" t="n">
        <f aca="false">0</f>
        <v>0</v>
      </c>
    </row>
    <row r="14" customFormat="false" ht="15" hidden="false" customHeight="false" outlineLevel="0" collapsed="false">
      <c r="A14" s="68" t="s">
        <v>702</v>
      </c>
      <c r="B14" s="69"/>
      <c r="C14" s="70" t="n">
        <f aca="false">SUM(E14:P14)</f>
        <v>635949</v>
      </c>
      <c r="D14" s="70" t="n">
        <f aca="false">SUM(Q14:AB14)</f>
        <v>560160</v>
      </c>
      <c r="E14" s="70" t="n">
        <f aca="false">SUM(E9:E13)</f>
        <v>65398.5</v>
      </c>
      <c r="F14" s="70" t="n">
        <f aca="false">SUM(F9:F13)</f>
        <v>56877</v>
      </c>
      <c r="G14" s="70" t="n">
        <f aca="false">SUM(G9:G13)</f>
        <v>50673.5</v>
      </c>
      <c r="H14" s="70" t="n">
        <f aca="false">SUM(H9:H13)</f>
        <v>42000</v>
      </c>
      <c r="I14" s="70" t="n">
        <f aca="false">SUM(I9:I13)</f>
        <v>42000</v>
      </c>
      <c r="J14" s="70" t="n">
        <f aca="false">SUM(J9:J13)</f>
        <v>42000</v>
      </c>
      <c r="K14" s="70" t="n">
        <f aca="false">SUM(K9:K13)</f>
        <v>50234.38</v>
      </c>
      <c r="L14" s="70" t="n">
        <f aca="false">SUM(L9:L13)</f>
        <v>63717.5</v>
      </c>
      <c r="M14" s="70" t="n">
        <f aca="false">SUM(M9:M13)</f>
        <v>67145.4348148148</v>
      </c>
      <c r="N14" s="70" t="n">
        <f aca="false">SUM(N9:N13)</f>
        <v>63067.8009259259</v>
      </c>
      <c r="O14" s="70" t="n">
        <f aca="false">SUM(O9:O13)</f>
        <v>50834.8842592593</v>
      </c>
      <c r="P14" s="70" t="n">
        <f aca="false">SUM(P9:P13)</f>
        <v>42000</v>
      </c>
      <c r="Q14" s="70" t="n">
        <f aca="false">SUM(Q9:Q13)</f>
        <v>43680</v>
      </c>
      <c r="R14" s="70" t="n">
        <f aca="false">SUM(R9:R13)</f>
        <v>43680</v>
      </c>
      <c r="S14" s="70" t="n">
        <f aca="false">SUM(S9:S13)</f>
        <v>47280</v>
      </c>
      <c r="T14" s="70" t="n">
        <f aca="false">SUM(T9:T13)</f>
        <v>47280</v>
      </c>
      <c r="U14" s="70" t="n">
        <f aca="false">SUM(U9:U13)</f>
        <v>47280</v>
      </c>
      <c r="V14" s="70" t="n">
        <f aca="false">SUM(V9:V13)</f>
        <v>47280</v>
      </c>
      <c r="W14" s="70" t="n">
        <f aca="false">SUM(W9:W13)</f>
        <v>47280</v>
      </c>
      <c r="X14" s="70" t="n">
        <f aca="false">SUM(X9:X13)</f>
        <v>47280</v>
      </c>
      <c r="Y14" s="70" t="n">
        <f aca="false">SUM(Y9:Y13)</f>
        <v>47280</v>
      </c>
      <c r="Z14" s="70" t="n">
        <f aca="false">SUM(Z9:Z13)</f>
        <v>47280</v>
      </c>
      <c r="AA14" s="70" t="n">
        <f aca="false">SUM(AA9:AA13)</f>
        <v>47280</v>
      </c>
      <c r="AB14" s="70" t="n">
        <f aca="false">SUM(AB9:AB13)</f>
        <v>47280</v>
      </c>
    </row>
    <row r="15" customFormat="false" ht="15" hidden="false" customHeight="false" outlineLevel="0" collapsed="false">
      <c r="A15" s="28" t="s">
        <v>703</v>
      </c>
      <c r="B15" s="58"/>
      <c r="C15" s="59" t="n">
        <f aca="false">SUM(E15:P15)</f>
        <v>737410.999773451</v>
      </c>
      <c r="D15" s="59" t="n">
        <f aca="false">SUM(Q15:AB15)</f>
        <v>654025.779936484</v>
      </c>
      <c r="E15" s="60" t="n">
        <f aca="false">E14/FX!E9</f>
        <v>75222.5672877847</v>
      </c>
      <c r="F15" s="60" t="n">
        <f aca="false">F14/FX!F9</f>
        <v>65282.0659971306</v>
      </c>
      <c r="G15" s="60" t="n">
        <f aca="false">G14/FX!G9</f>
        <v>58091.1602526625</v>
      </c>
      <c r="H15" s="60" t="n">
        <f aca="false">H14/FX!H9</f>
        <v>48426.7084827451</v>
      </c>
      <c r="I15" s="60" t="n">
        <f aca="false">I14/FX!I9</f>
        <v>48457.4382167663</v>
      </c>
      <c r="J15" s="60" t="n">
        <f aca="false">J14/FX!J9</f>
        <v>48582.995951417</v>
      </c>
      <c r="K15" s="60" t="n">
        <f aca="false">K14/FX!K9</f>
        <v>58497.0946142649</v>
      </c>
      <c r="L15" s="60" t="n">
        <f aca="false">L14/FX!L9</f>
        <v>74426.7675882772</v>
      </c>
      <c r="M15" s="60" t="n">
        <f aca="false">M14/FX!M9</f>
        <v>78396.9676055656</v>
      </c>
      <c r="N15" s="60" t="n">
        <f aca="false">N14/FX!N9</f>
        <v>73636.0462893774</v>
      </c>
      <c r="O15" s="60" t="n">
        <f aca="false">O14/FX!O9</f>
        <v>59353.2648272689</v>
      </c>
      <c r="P15" s="60" t="n">
        <f aca="false">P14/FX!P9</f>
        <v>49037.9226601906</v>
      </c>
      <c r="Q15" s="60" t="n">
        <f aca="false">Q14/FX!Q9</f>
        <v>50999.4395665982</v>
      </c>
      <c r="R15" s="60" t="n">
        <f aca="false">R14/FX!R9</f>
        <v>50999.4395665982</v>
      </c>
      <c r="S15" s="60" t="n">
        <f aca="false">S14/FX!S9</f>
        <v>55202.6900803288</v>
      </c>
      <c r="T15" s="60" t="n">
        <f aca="false">T14/FX!T9</f>
        <v>55202.6900803288</v>
      </c>
      <c r="U15" s="60" t="n">
        <f aca="false">U14/FX!U9</f>
        <v>55202.6900803288</v>
      </c>
      <c r="V15" s="60" t="n">
        <f aca="false">V14/FX!V9</f>
        <v>55202.6900803288</v>
      </c>
      <c r="W15" s="60" t="n">
        <f aca="false">W14/FX!W9</f>
        <v>55202.6900803288</v>
      </c>
      <c r="X15" s="60" t="n">
        <f aca="false">X14/FX!X9</f>
        <v>55202.6900803288</v>
      </c>
      <c r="Y15" s="60" t="n">
        <f aca="false">Y14/FX!Y9</f>
        <v>55202.6900803288</v>
      </c>
      <c r="Z15" s="60" t="n">
        <f aca="false">Z14/FX!Z9</f>
        <v>55202.6900803288</v>
      </c>
      <c r="AA15" s="60" t="n">
        <f aca="false">AA14/FX!AA9</f>
        <v>55202.6900803288</v>
      </c>
      <c r="AB15" s="60" t="n">
        <f aca="false">AB14/FX!AB9</f>
        <v>55202.6900803288</v>
      </c>
    </row>
    <row r="16" customFormat="false" ht="15" hidden="false" customHeight="false" outlineLevel="0" collapsed="false">
      <c r="A16" s="28" t="s">
        <v>704</v>
      </c>
      <c r="B16" s="58" t="s">
        <v>51</v>
      </c>
      <c r="C16" s="59" t="n">
        <f aca="false">SUM(E16:P16)</f>
        <v>0</v>
      </c>
      <c r="D16" s="59" t="n">
        <f aca="false">SUM(Q16:AB16)</f>
        <v>0</v>
      </c>
      <c r="E16" s="71" t="n">
        <f aca="false">0</f>
        <v>0</v>
      </c>
      <c r="F16" s="71" t="n">
        <f aca="false">0</f>
        <v>0</v>
      </c>
      <c r="G16" s="71" t="n">
        <f aca="false">0</f>
        <v>0</v>
      </c>
      <c r="H16" s="71" t="n">
        <f aca="false">0</f>
        <v>0</v>
      </c>
      <c r="I16" s="71" t="n">
        <f aca="false">0</f>
        <v>0</v>
      </c>
      <c r="J16" s="71" t="n">
        <f aca="false">0</f>
        <v>0</v>
      </c>
      <c r="K16" s="71" t="n">
        <f aca="false">0</f>
        <v>0</v>
      </c>
      <c r="L16" s="71" t="n">
        <f aca="false">0</f>
        <v>0</v>
      </c>
      <c r="M16" s="71" t="n">
        <f aca="false">0</f>
        <v>0</v>
      </c>
      <c r="N16" s="71" t="n">
        <f aca="false">0</f>
        <v>0</v>
      </c>
      <c r="O16" s="71" t="n">
        <f aca="false">0</f>
        <v>0</v>
      </c>
      <c r="P16" s="71" t="n">
        <f aca="false">0</f>
        <v>0</v>
      </c>
      <c r="Q16" s="71" t="n">
        <f aca="false">0</f>
        <v>0</v>
      </c>
      <c r="R16" s="71" t="n">
        <f aca="false">0</f>
        <v>0</v>
      </c>
      <c r="S16" s="71" t="n">
        <f aca="false">0</f>
        <v>0</v>
      </c>
      <c r="T16" s="71" t="n">
        <f aca="false">0</f>
        <v>0</v>
      </c>
      <c r="U16" s="71" t="n">
        <f aca="false">0</f>
        <v>0</v>
      </c>
      <c r="V16" s="71" t="n">
        <f aca="false">0</f>
        <v>0</v>
      </c>
      <c r="W16" s="71" t="n">
        <f aca="false">0</f>
        <v>0</v>
      </c>
      <c r="X16" s="71" t="n">
        <f aca="false">0</f>
        <v>0</v>
      </c>
      <c r="Y16" s="71" t="n">
        <f aca="false">0</f>
        <v>0</v>
      </c>
      <c r="Z16" s="71" t="n">
        <f aca="false">0</f>
        <v>0</v>
      </c>
      <c r="AA16" s="71" t="n">
        <f aca="false">0</f>
        <v>0</v>
      </c>
      <c r="AB16" s="71" t="n">
        <f aca="false">0</f>
        <v>0</v>
      </c>
    </row>
    <row r="17" customFormat="false" ht="15" hidden="false" customHeight="false" outlineLevel="0" collapsed="false">
      <c r="A17" s="68" t="s">
        <v>705</v>
      </c>
      <c r="B17" s="69" t="s">
        <v>706</v>
      </c>
      <c r="C17" s="70" t="n">
        <f aca="false">SUM(E17:P17)</f>
        <v>737410.999773451</v>
      </c>
      <c r="D17" s="70" t="n">
        <f aca="false">SUM(Q17:AB17)</f>
        <v>654025.779936484</v>
      </c>
      <c r="E17" s="70" t="n">
        <f aca="false">E15-E16</f>
        <v>75222.5672877847</v>
      </c>
      <c r="F17" s="70" t="n">
        <f aca="false">F15-F16</f>
        <v>65282.0659971306</v>
      </c>
      <c r="G17" s="70" t="n">
        <f aca="false">G15-G16</f>
        <v>58091.1602526625</v>
      </c>
      <c r="H17" s="70" t="n">
        <f aca="false">H15-H16</f>
        <v>48426.7084827451</v>
      </c>
      <c r="I17" s="70" t="n">
        <f aca="false">I15-I16</f>
        <v>48457.4382167663</v>
      </c>
      <c r="J17" s="70" t="n">
        <f aca="false">J15-J16</f>
        <v>48582.995951417</v>
      </c>
      <c r="K17" s="70" t="n">
        <f aca="false">K15-K16</f>
        <v>58497.0946142649</v>
      </c>
      <c r="L17" s="70" t="n">
        <f aca="false">L15-L16</f>
        <v>74426.7675882772</v>
      </c>
      <c r="M17" s="70" t="n">
        <f aca="false">M15-M16</f>
        <v>78396.9676055656</v>
      </c>
      <c r="N17" s="70" t="n">
        <f aca="false">N15-N16</f>
        <v>73636.0462893774</v>
      </c>
      <c r="O17" s="70" t="n">
        <f aca="false">O15-O16</f>
        <v>59353.2648272689</v>
      </c>
      <c r="P17" s="70" t="n">
        <f aca="false">P15-P16</f>
        <v>49037.9226601906</v>
      </c>
      <c r="Q17" s="70" t="n">
        <f aca="false">Q15-Q16</f>
        <v>50999.4395665982</v>
      </c>
      <c r="R17" s="70" t="n">
        <f aca="false">R15-R16</f>
        <v>50999.4395665982</v>
      </c>
      <c r="S17" s="70" t="n">
        <f aca="false">S15-S16</f>
        <v>55202.6900803288</v>
      </c>
      <c r="T17" s="70" t="n">
        <f aca="false">T15-T16</f>
        <v>55202.6900803288</v>
      </c>
      <c r="U17" s="70" t="n">
        <f aca="false">U15-U16</f>
        <v>55202.6900803288</v>
      </c>
      <c r="V17" s="70" t="n">
        <f aca="false">V15-V16</f>
        <v>55202.6900803288</v>
      </c>
      <c r="W17" s="70" t="n">
        <f aca="false">W15-W16</f>
        <v>55202.6900803288</v>
      </c>
      <c r="X17" s="70" t="n">
        <f aca="false">X15-X16</f>
        <v>55202.6900803288</v>
      </c>
      <c r="Y17" s="70" t="n">
        <f aca="false">Y15-Y16</f>
        <v>55202.6900803288</v>
      </c>
      <c r="Z17" s="70" t="n">
        <f aca="false">Z15-Z16</f>
        <v>55202.6900803288</v>
      </c>
      <c r="AA17" s="70" t="n">
        <f aca="false">AA15-AA16</f>
        <v>55202.6900803288</v>
      </c>
      <c r="AB17" s="70" t="n">
        <f aca="false">AB15-AB16</f>
        <v>55202.6900803288</v>
      </c>
    </row>
    <row r="18" customFormat="false" ht="15" hidden="false" customHeight="false" outlineLevel="0" collapsed="false">
      <c r="A18" s="28" t="s">
        <v>707</v>
      </c>
      <c r="B18" s="58" t="s">
        <v>708</v>
      </c>
      <c r="C18" s="66" t="n">
        <f aca="false">SUM(E18:P18)</f>
        <v>7160.655</v>
      </c>
      <c r="D18" s="66" t="n">
        <f aca="false">SUM(Q18:AB18)</f>
        <v>6121.965</v>
      </c>
      <c r="E18" s="67" t="n">
        <f aca="false">Retainers!E13+Retainers!E133+Projects!E48+Projects!E140</f>
        <v>761.1</v>
      </c>
      <c r="F18" s="67" t="n">
        <f aca="false">Retainers!F13+Retainers!F133+Projects!F48+Projects!F140</f>
        <v>653</v>
      </c>
      <c r="G18" s="67" t="n">
        <f aca="false">Retainers!G13+Retainers!G133+Projects!G48+Projects!G140</f>
        <v>599.8</v>
      </c>
      <c r="H18" s="67" t="n">
        <f aca="false">Retainers!H13+Retainers!H133+Projects!H48+Projects!H140</f>
        <v>486.3</v>
      </c>
      <c r="I18" s="67" t="n">
        <f aca="false">Retainers!I13+Retainers!I133+Projects!I48+Projects!I140</f>
        <v>483.1</v>
      </c>
      <c r="J18" s="67" t="n">
        <f aca="false">Retainers!J13+Retainers!J133+Projects!J48+Projects!J140</f>
        <v>490.1</v>
      </c>
      <c r="K18" s="67" t="n">
        <f aca="false">Retainers!K13+Retainers!K133+Projects!K48+Projects!K140</f>
        <v>566.9</v>
      </c>
      <c r="L18" s="67" t="n">
        <f aca="false">Retainers!L13+Retainers!L133+Projects!L48+Projects!L140</f>
        <v>699.1</v>
      </c>
      <c r="M18" s="67" t="n">
        <f aca="false">Retainers!M13+Retainers!M133+Projects!M48+Projects!M140</f>
        <v>712.451712962963</v>
      </c>
      <c r="N18" s="67" t="n">
        <f aca="false">Retainers!N13+Retainers!N133+Projects!N48+Projects!N140</f>
        <v>674.073935185185</v>
      </c>
      <c r="O18" s="67" t="n">
        <f aca="false">Retainers!O13+Retainers!O133+Projects!O48+Projects!O140</f>
        <v>558.940601851852</v>
      </c>
      <c r="P18" s="67" t="n">
        <f aca="false">Retainers!P13+Retainers!P133+Projects!P48+Projects!P140</f>
        <v>475.78875</v>
      </c>
      <c r="Q18" s="67" t="n">
        <f aca="false">Retainers!Q13+Retainers!Q133+Projects!Q48+Projects!Q140</f>
        <v>475.78875</v>
      </c>
      <c r="R18" s="67" t="n">
        <f aca="false">Retainers!R13+Retainers!R133+Projects!R48+Projects!R140</f>
        <v>475.78875</v>
      </c>
      <c r="S18" s="67" t="n">
        <f aca="false">Retainers!S13+Retainers!S133+Projects!S48+Projects!S140</f>
        <v>517.03875</v>
      </c>
      <c r="T18" s="67" t="n">
        <f aca="false">Retainers!T13+Retainers!T133+Projects!T48+Projects!T140</f>
        <v>517.03875</v>
      </c>
      <c r="U18" s="67" t="n">
        <f aca="false">Retainers!U13+Retainers!U133+Projects!U48+Projects!U140</f>
        <v>517.03875</v>
      </c>
      <c r="V18" s="67" t="n">
        <f aca="false">Retainers!V13+Retainers!V133+Projects!V48+Projects!V140</f>
        <v>517.03875</v>
      </c>
      <c r="W18" s="67" t="n">
        <f aca="false">Retainers!W13+Retainers!W133+Projects!W48+Projects!W140</f>
        <v>517.03875</v>
      </c>
      <c r="X18" s="67" t="n">
        <f aca="false">Retainers!X13+Retainers!X133+Projects!X48+Projects!X140</f>
        <v>517.03875</v>
      </c>
      <c r="Y18" s="67" t="n">
        <f aca="false">Retainers!Y13+Retainers!Y133+Projects!Y48+Projects!Y140</f>
        <v>517.03875</v>
      </c>
      <c r="Z18" s="67" t="n">
        <f aca="false">Retainers!Z13+Retainers!Z133+Projects!Z48+Projects!Z140</f>
        <v>517.03875</v>
      </c>
      <c r="AA18" s="67" t="n">
        <f aca="false">Retainers!AA13+Retainers!AA133+Projects!AA48+Projects!AA140</f>
        <v>517.03875</v>
      </c>
      <c r="AB18" s="67" t="n">
        <f aca="false">Retainers!AB13+Retainers!AB133+Projects!AB48+Projects!AB140</f>
        <v>517.03875</v>
      </c>
    </row>
    <row r="19" customFormat="false" ht="15" hidden="false" customHeight="false" outlineLevel="0" collapsed="false">
      <c r="A19" s="28" t="s">
        <v>709</v>
      </c>
      <c r="B19" s="58" t="s">
        <v>710</v>
      </c>
      <c r="C19" s="59" t="n">
        <f aca="false">SUM(E19:P19)</f>
        <v>385708.855509321</v>
      </c>
      <c r="D19" s="59" t="n">
        <f aca="false">SUM(Q19:AB19)</f>
        <v>342746.661820101</v>
      </c>
      <c r="E19" s="60" t="n">
        <f aca="false">Retainers!E13*Utilisation!E90+Retainers!E133*Utilisation!E89+Projects!E48*Utilisation!E91+Projects!E140*Utilisation!E91</f>
        <v>40870.7641739931</v>
      </c>
      <c r="F19" s="60" t="n">
        <f aca="false">Retainers!F13*Utilisation!F90+Retainers!F133*Utilisation!F89+Projects!F48*Utilisation!F91+Projects!F140*Utilisation!F91</f>
        <v>35129.1927714615</v>
      </c>
      <c r="G19" s="60" t="n">
        <f aca="false">Retainers!G13*Utilisation!G90+Retainers!G133*Utilisation!G89+Projects!G48*Utilisation!G91+Projects!G140*Utilisation!G91</f>
        <v>32328.0483535098</v>
      </c>
      <c r="H19" s="60" t="n">
        <f aca="false">Retainers!H13*Utilisation!H90+Retainers!H133*Utilisation!H89+Projects!H48*Utilisation!H91+Projects!H140*Utilisation!H91</f>
        <v>26296.3283406214</v>
      </c>
      <c r="I19" s="60" t="n">
        <f aca="false">Retainers!I13*Utilisation!I90+Retainers!I133*Utilisation!I89+Projects!I48*Utilisation!I91+Projects!I140*Utilisation!I91</f>
        <v>26123.2906052935</v>
      </c>
      <c r="J19" s="60" t="n">
        <f aca="false">Retainers!J13*Utilisation!J90+Retainers!J133*Utilisation!J89+Projects!J48*Utilisation!J91+Projects!J140*Utilisation!J91</f>
        <v>26501.8106513234</v>
      </c>
      <c r="K19" s="60" t="n">
        <f aca="false">Retainers!K13*Utilisation!K90+Retainers!K133*Utilisation!K89+Projects!K48*Utilisation!K91+Projects!K140*Utilisation!K91</f>
        <v>30564.9825362486</v>
      </c>
      <c r="L19" s="60" t="n">
        <f aca="false">Retainers!L13*Utilisation!L90+Retainers!L133*Utilisation!L89+Projects!L48*Utilisation!L91+Projects!L140*Utilisation!L91</f>
        <v>37566.6721767549</v>
      </c>
      <c r="M19" s="60" t="n">
        <f aca="false">Retainers!M13*Utilisation!M90+Retainers!M133*Utilisation!M89+Projects!M48*Utilisation!M91+Projects!M140*Utilisation!M91</f>
        <v>38251.3007729191</v>
      </c>
      <c r="N19" s="60" t="n">
        <f aca="false">Retainers!N13*Utilisation!N90+Retainers!N133*Utilisation!N89+Projects!N48*Utilisation!N91+Projects!N140*Utilisation!N91</f>
        <v>36220.485502033</v>
      </c>
      <c r="O19" s="60" t="n">
        <f aca="false">Retainers!O13*Utilisation!O90+Retainers!O133*Utilisation!O89+Projects!O48*Utilisation!O91+Projects!O140*Utilisation!O91</f>
        <v>30128.0396893748</v>
      </c>
      <c r="P19" s="60" t="n">
        <f aca="false">Retainers!P13*Utilisation!P90+Retainers!P133*Utilisation!P89+Projects!P48*Utilisation!P91+Projects!P140*Utilisation!P91</f>
        <v>25727.9399357883</v>
      </c>
      <c r="Q19" s="60" t="n">
        <f aca="false">Retainers!Q13*Utilisation!Q90+Retainers!Q133*Utilisation!Q89+Projects!Q48*Utilisation!Q91+Projects!Q140*Utilisation!Q91</f>
        <v>26885.6972328987</v>
      </c>
      <c r="R19" s="60" t="n">
        <f aca="false">Retainers!R13*Utilisation!R90+Retainers!R133*Utilisation!R89+Projects!R48*Utilisation!R91+Projects!R140*Utilisation!R91</f>
        <v>26885.6972328987</v>
      </c>
      <c r="S19" s="60" t="n">
        <f aca="false">Retainers!S13*Utilisation!S90+Retainers!S133*Utilisation!S89+Projects!S48*Utilisation!S91+Projects!S140*Utilisation!S91</f>
        <v>28897.5267354304</v>
      </c>
      <c r="T19" s="60" t="n">
        <f aca="false">Retainers!T13*Utilisation!T90+Retainers!T133*Utilisation!T89+Projects!T48*Utilisation!T91+Projects!T140*Utilisation!T91</f>
        <v>28897.5267354304</v>
      </c>
      <c r="U19" s="60" t="n">
        <f aca="false">Retainers!U13*Utilisation!U90+Retainers!U133*Utilisation!U89+Projects!U48*Utilisation!U91+Projects!U140*Utilisation!U91</f>
        <v>28897.5267354304</v>
      </c>
      <c r="V19" s="60" t="n">
        <f aca="false">Retainers!V13*Utilisation!V90+Retainers!V133*Utilisation!V89+Projects!V48*Utilisation!V91+Projects!V140*Utilisation!V91</f>
        <v>28897.5267354304</v>
      </c>
      <c r="W19" s="60" t="n">
        <f aca="false">Retainers!W13*Utilisation!W90+Retainers!W133*Utilisation!W89+Projects!W48*Utilisation!W91+Projects!W140*Utilisation!W91</f>
        <v>28897.5267354304</v>
      </c>
      <c r="X19" s="60" t="n">
        <f aca="false">Retainers!X13*Utilisation!X90+Retainers!X133*Utilisation!X89+Projects!X48*Utilisation!X91+Projects!X140*Utilisation!X91</f>
        <v>28897.5267354304</v>
      </c>
      <c r="Y19" s="60" t="n">
        <f aca="false">Retainers!Y13*Utilisation!Y90+Retainers!Y133*Utilisation!Y89+Projects!Y48*Utilisation!Y91+Projects!Y140*Utilisation!Y91</f>
        <v>28897.5267354304</v>
      </c>
      <c r="Z19" s="60" t="n">
        <f aca="false">Retainers!Z13*Utilisation!Z90+Retainers!Z133*Utilisation!Z89+Projects!Z48*Utilisation!Z91+Projects!Z140*Utilisation!Z91</f>
        <v>28897.5267354304</v>
      </c>
      <c r="AA19" s="60" t="n">
        <f aca="false">Retainers!AA13*Utilisation!AA90+Retainers!AA133*Utilisation!AA89+Projects!AA48*Utilisation!AA91+Projects!AA140*Utilisation!AA91</f>
        <v>28897.5267354304</v>
      </c>
      <c r="AB19" s="60" t="n">
        <f aca="false">Retainers!AB13*Utilisation!AB90+Retainers!AB133*Utilisation!AB89+Projects!AB48*Utilisation!AB91+Projects!AB140*Utilisation!AB91</f>
        <v>28897.5267354304</v>
      </c>
    </row>
    <row r="20" customFormat="false" ht="15" hidden="false" customHeight="false" outlineLevel="0" collapsed="false">
      <c r="A20" s="28" t="s">
        <v>711</v>
      </c>
      <c r="B20" s="58" t="s">
        <v>53</v>
      </c>
      <c r="C20" s="59" t="n">
        <f aca="false">SUM(E20:P20)</f>
        <v>0</v>
      </c>
      <c r="D20" s="59" t="n">
        <f aca="false">SUM(Q20:AB20)</f>
        <v>0</v>
      </c>
      <c r="E20" s="71" t="n">
        <f aca="false">0</f>
        <v>0</v>
      </c>
      <c r="F20" s="71" t="n">
        <f aca="false">0</f>
        <v>0</v>
      </c>
      <c r="G20" s="71" t="n">
        <f aca="false">0</f>
        <v>0</v>
      </c>
      <c r="H20" s="71" t="n">
        <f aca="false">0</f>
        <v>0</v>
      </c>
      <c r="I20" s="71" t="n">
        <f aca="false">0</f>
        <v>0</v>
      </c>
      <c r="J20" s="71" t="n">
        <f aca="false">0</f>
        <v>0</v>
      </c>
      <c r="K20" s="71" t="n">
        <f aca="false">0</f>
        <v>0</v>
      </c>
      <c r="L20" s="71" t="n">
        <f aca="false">0</f>
        <v>0</v>
      </c>
      <c r="M20" s="71" t="n">
        <f aca="false">0</f>
        <v>0</v>
      </c>
      <c r="N20" s="71" t="n">
        <f aca="false">0</f>
        <v>0</v>
      </c>
      <c r="O20" s="71" t="n">
        <f aca="false">0</f>
        <v>0</v>
      </c>
      <c r="P20" s="71" t="n">
        <f aca="false">0</f>
        <v>0</v>
      </c>
      <c r="Q20" s="71" t="n">
        <f aca="false">0</f>
        <v>0</v>
      </c>
      <c r="R20" s="71" t="n">
        <f aca="false">0</f>
        <v>0</v>
      </c>
      <c r="S20" s="71" t="n">
        <f aca="false">0</f>
        <v>0</v>
      </c>
      <c r="T20" s="71" t="n">
        <f aca="false">0</f>
        <v>0</v>
      </c>
      <c r="U20" s="71" t="n">
        <f aca="false">0</f>
        <v>0</v>
      </c>
      <c r="V20" s="71" t="n">
        <f aca="false">0</f>
        <v>0</v>
      </c>
      <c r="W20" s="71" t="n">
        <f aca="false">0</f>
        <v>0</v>
      </c>
      <c r="X20" s="71" t="n">
        <f aca="false">0</f>
        <v>0</v>
      </c>
      <c r="Y20" s="71" t="n">
        <f aca="false">0</f>
        <v>0</v>
      </c>
      <c r="Z20" s="71" t="n">
        <f aca="false">0</f>
        <v>0</v>
      </c>
      <c r="AA20" s="71" t="n">
        <f aca="false">0</f>
        <v>0</v>
      </c>
      <c r="AB20" s="71" t="n">
        <f aca="false">0</f>
        <v>0</v>
      </c>
    </row>
    <row r="21" customFormat="false" ht="15" hidden="false" customHeight="false" outlineLevel="0" collapsed="false">
      <c r="A21" s="28" t="s">
        <v>712</v>
      </c>
      <c r="B21" s="58" t="s">
        <v>713</v>
      </c>
      <c r="C21" s="59" t="n">
        <f aca="false">SUM(E21:P21)</f>
        <v>655500</v>
      </c>
      <c r="D21" s="59" t="n">
        <f aca="false">SUM(Q21:AB21)</f>
        <v>560160</v>
      </c>
      <c r="E21" s="60" t="n">
        <f aca="false">Retainers!E16+Retainers!E136+Projects!E56+Projects!E148+E12+E20+E13</f>
        <v>80000</v>
      </c>
      <c r="F21" s="60" t="n">
        <f aca="false">Retainers!F16+Retainers!F136+Projects!F56+Projects!F148+F12+F20+F13</f>
        <v>42000</v>
      </c>
      <c r="G21" s="60" t="n">
        <f aca="false">Retainers!G16+Retainers!G136+Projects!G56+Projects!G148+G12+G20+G13</f>
        <v>70500</v>
      </c>
      <c r="H21" s="60" t="n">
        <f aca="false">Retainers!H16+Retainers!H136+Projects!H56+Projects!H148+H12+H20+H13</f>
        <v>42000</v>
      </c>
      <c r="I21" s="60" t="n">
        <f aca="false">Retainers!I16+Retainers!I136+Projects!I56+Projects!I148+I12+I20+I13</f>
        <v>42000</v>
      </c>
      <c r="J21" s="60" t="n">
        <f aca="false">Retainers!J16+Retainers!J136+Projects!J56+Projects!J148+J12+J20+J13</f>
        <v>42000</v>
      </c>
      <c r="K21" s="60" t="n">
        <f aca="false">Retainers!K16+Retainers!K136+Projects!K56+Projects!K148+K12+K20+K13</f>
        <v>67500</v>
      </c>
      <c r="L21" s="60" t="n">
        <f aca="false">Retainers!L16+Retainers!L136+Projects!L56+Projects!L148+L12+L20+L13</f>
        <v>42000</v>
      </c>
      <c r="M21" s="60" t="n">
        <f aca="false">Retainers!M16+Retainers!M136+Projects!M56+Projects!M148+M12+M20+M13</f>
        <v>76000</v>
      </c>
      <c r="N21" s="60" t="n">
        <f aca="false">Retainers!N16+Retainers!N136+Projects!N56+Projects!N148+N12+N20+N13</f>
        <v>42000</v>
      </c>
      <c r="O21" s="60" t="n">
        <f aca="false">Retainers!O16+Retainers!O136+Projects!O56+Projects!O148+O12+O20+O13</f>
        <v>67500</v>
      </c>
      <c r="P21" s="60" t="n">
        <f aca="false">Retainers!P16+Retainers!P136+Projects!P56+Projects!P148+P12+P20+P13</f>
        <v>42000</v>
      </c>
      <c r="Q21" s="60" t="n">
        <f aca="false">Retainers!Q16+Retainers!Q136+Projects!Q56+Projects!Q148+Q12+Q20+Q13</f>
        <v>43680</v>
      </c>
      <c r="R21" s="60" t="n">
        <f aca="false">Retainers!R16+Retainers!R136+Projects!R56+Projects!R148+R12+R20+R13</f>
        <v>43680</v>
      </c>
      <c r="S21" s="60" t="n">
        <f aca="false">Retainers!S16+Retainers!S136+Projects!S56+Projects!S148+S12+S20+S13</f>
        <v>47280</v>
      </c>
      <c r="T21" s="60" t="n">
        <f aca="false">Retainers!T16+Retainers!T136+Projects!T56+Projects!T148+T12+T20+T13</f>
        <v>47280</v>
      </c>
      <c r="U21" s="60" t="n">
        <f aca="false">Retainers!U16+Retainers!U136+Projects!U56+Projects!U148+U12+U20+U13</f>
        <v>47280</v>
      </c>
      <c r="V21" s="60" t="n">
        <f aca="false">Retainers!V16+Retainers!V136+Projects!V56+Projects!V148+V12+V20+V13</f>
        <v>47280</v>
      </c>
      <c r="W21" s="60" t="n">
        <f aca="false">Retainers!W16+Retainers!W136+Projects!W56+Projects!W148+W12+W20+W13</f>
        <v>47280</v>
      </c>
      <c r="X21" s="60" t="n">
        <f aca="false">Retainers!X16+Retainers!X136+Projects!X56+Projects!X148+X12+X20+X13</f>
        <v>47280</v>
      </c>
      <c r="Y21" s="60" t="n">
        <f aca="false">Retainers!Y16+Retainers!Y136+Projects!Y56+Projects!Y148+Y12+Y20+Y13</f>
        <v>47280</v>
      </c>
      <c r="Z21" s="60" t="n">
        <f aca="false">Retainers!Z16+Retainers!Z136+Projects!Z56+Projects!Z148+Z12+Z20+Z13</f>
        <v>47280</v>
      </c>
      <c r="AA21" s="60" t="n">
        <f aca="false">Retainers!AA16+Retainers!AA136+Projects!AA56+Projects!AA148+AA12+AA20+AA13</f>
        <v>47280</v>
      </c>
      <c r="AB21" s="60" t="n">
        <f aca="false">Retainers!AB16+Retainers!AB136+Projects!AB56+Projects!AB148+AB12+AB20+AB13</f>
        <v>47280</v>
      </c>
    </row>
    <row r="22" customFormat="false" ht="15" hidden="false" customHeight="false" outlineLevel="0" collapsed="false">
      <c r="A22" s="28" t="s">
        <v>714</v>
      </c>
      <c r="B22" s="58" t="s">
        <v>715</v>
      </c>
      <c r="C22" s="59" t="n">
        <f aca="false">SUM(E22:P22)</f>
        <v>0</v>
      </c>
      <c r="D22" s="59" t="n">
        <f aca="false">SUM(Q22:AB22)</f>
        <v>0</v>
      </c>
      <c r="E22" s="60" t="n">
        <f aca="false">E21*Client_Register!$F$7</f>
        <v>0</v>
      </c>
      <c r="F22" s="60" t="n">
        <f aca="false">F21*Client_Register!$F$7</f>
        <v>0</v>
      </c>
      <c r="G22" s="60" t="n">
        <f aca="false">G21*Client_Register!$F$7</f>
        <v>0</v>
      </c>
      <c r="H22" s="60" t="n">
        <f aca="false">H21*Client_Register!$F$7</f>
        <v>0</v>
      </c>
      <c r="I22" s="60" t="n">
        <f aca="false">I21*Client_Register!$F$7</f>
        <v>0</v>
      </c>
      <c r="J22" s="60" t="n">
        <f aca="false">J21*Client_Register!$F$7</f>
        <v>0</v>
      </c>
      <c r="K22" s="60" t="n">
        <f aca="false">K21*Client_Register!$F$7</f>
        <v>0</v>
      </c>
      <c r="L22" s="60" t="n">
        <f aca="false">L21*Client_Register!$F$7</f>
        <v>0</v>
      </c>
      <c r="M22" s="60" t="n">
        <f aca="false">M21*Client_Register!$F$7</f>
        <v>0</v>
      </c>
      <c r="N22" s="60" t="n">
        <f aca="false">N21*Client_Register!$F$7</f>
        <v>0</v>
      </c>
      <c r="O22" s="60" t="n">
        <f aca="false">O21*Client_Register!$F$7</f>
        <v>0</v>
      </c>
      <c r="P22" s="60" t="n">
        <f aca="false">P21*Client_Register!$F$7</f>
        <v>0</v>
      </c>
      <c r="Q22" s="60" t="n">
        <f aca="false">Q21*Client_Register!$F$7</f>
        <v>0</v>
      </c>
      <c r="R22" s="60" t="n">
        <f aca="false">R21*Client_Register!$F$7</f>
        <v>0</v>
      </c>
      <c r="S22" s="60" t="n">
        <f aca="false">S21*Client_Register!$F$7</f>
        <v>0</v>
      </c>
      <c r="T22" s="60" t="n">
        <f aca="false">T21*Client_Register!$F$7</f>
        <v>0</v>
      </c>
      <c r="U22" s="60" t="n">
        <f aca="false">U21*Client_Register!$F$7</f>
        <v>0</v>
      </c>
      <c r="V22" s="60" t="n">
        <f aca="false">V21*Client_Register!$F$7</f>
        <v>0</v>
      </c>
      <c r="W22" s="60" t="n">
        <f aca="false">W21*Client_Register!$F$7</f>
        <v>0</v>
      </c>
      <c r="X22" s="60" t="n">
        <f aca="false">X21*Client_Register!$F$7</f>
        <v>0</v>
      </c>
      <c r="Y22" s="60" t="n">
        <f aca="false">Y21*Client_Register!$F$7</f>
        <v>0</v>
      </c>
      <c r="Z22" s="60" t="n">
        <f aca="false">Z21*Client_Register!$F$7</f>
        <v>0</v>
      </c>
      <c r="AA22" s="60" t="n">
        <f aca="false">AA21*Client_Register!$F$7</f>
        <v>0</v>
      </c>
      <c r="AB22" s="60" t="n">
        <f aca="false">AB21*Client_Register!$F$7</f>
        <v>0</v>
      </c>
    </row>
    <row r="23" customFormat="false" ht="15" hidden="false" customHeight="false" outlineLevel="0" collapsed="false">
      <c r="A23" s="68" t="s">
        <v>716</v>
      </c>
      <c r="B23" s="69"/>
      <c r="C23" s="70" t="n">
        <f aca="false">SUM(E23:P23)</f>
        <v>655500</v>
      </c>
      <c r="D23" s="70" t="n">
        <f aca="false">SUM(Q23:AB23)</f>
        <v>560160</v>
      </c>
      <c r="E23" s="70" t="n">
        <f aca="false">E21+E22</f>
        <v>80000</v>
      </c>
      <c r="F23" s="70" t="n">
        <f aca="false">F21+F22</f>
        <v>42000</v>
      </c>
      <c r="G23" s="70" t="n">
        <f aca="false">G21+G22</f>
        <v>70500</v>
      </c>
      <c r="H23" s="70" t="n">
        <f aca="false">H21+H22</f>
        <v>42000</v>
      </c>
      <c r="I23" s="70" t="n">
        <f aca="false">I21+I22</f>
        <v>42000</v>
      </c>
      <c r="J23" s="70" t="n">
        <f aca="false">J21+J22</f>
        <v>42000</v>
      </c>
      <c r="K23" s="70" t="n">
        <f aca="false">K21+K22</f>
        <v>67500</v>
      </c>
      <c r="L23" s="70" t="n">
        <f aca="false">L21+L22</f>
        <v>42000</v>
      </c>
      <c r="M23" s="70" t="n">
        <f aca="false">M21+M22</f>
        <v>76000</v>
      </c>
      <c r="N23" s="70" t="n">
        <f aca="false">N21+N22</f>
        <v>42000</v>
      </c>
      <c r="O23" s="70" t="n">
        <f aca="false">O21+O22</f>
        <v>67500</v>
      </c>
      <c r="P23" s="70" t="n">
        <f aca="false">P21+P22</f>
        <v>42000</v>
      </c>
      <c r="Q23" s="70" t="n">
        <f aca="false">Q21+Q22</f>
        <v>43680</v>
      </c>
      <c r="R23" s="70" t="n">
        <f aca="false">R21+R22</f>
        <v>43680</v>
      </c>
      <c r="S23" s="70" t="n">
        <f aca="false">S21+S22</f>
        <v>47280</v>
      </c>
      <c r="T23" s="70" t="n">
        <f aca="false">T21+T22</f>
        <v>47280</v>
      </c>
      <c r="U23" s="70" t="n">
        <f aca="false">U21+U22</f>
        <v>47280</v>
      </c>
      <c r="V23" s="70" t="n">
        <f aca="false">V21+V22</f>
        <v>47280</v>
      </c>
      <c r="W23" s="70" t="n">
        <f aca="false">W21+W22</f>
        <v>47280</v>
      </c>
      <c r="X23" s="70" t="n">
        <f aca="false">X21+X22</f>
        <v>47280</v>
      </c>
      <c r="Y23" s="70" t="n">
        <f aca="false">Y21+Y22</f>
        <v>47280</v>
      </c>
      <c r="Z23" s="70" t="n">
        <f aca="false">Z21+Z22</f>
        <v>47280</v>
      </c>
      <c r="AA23" s="70" t="n">
        <f aca="false">AA21+AA22</f>
        <v>47280</v>
      </c>
      <c r="AB23" s="70" t="n">
        <f aca="false">AB21+AB22</f>
        <v>47280</v>
      </c>
    </row>
    <row r="24" customFormat="false" ht="15" hidden="false" customHeight="false" outlineLevel="0" collapsed="false">
      <c r="A24" s="28" t="s">
        <v>717</v>
      </c>
      <c r="B24" s="58" t="s">
        <v>718</v>
      </c>
      <c r="C24" s="59" t="n">
        <f aca="false">SUM(E24:P24)</f>
        <v>656029.03</v>
      </c>
      <c r="D24" s="59" t="n">
        <f aca="false">SUM(Q24:AB24)</f>
        <v>558250</v>
      </c>
      <c r="E24" s="60" t="n">
        <f aca="false">IF(E$5="A",Inputs_Actuals!E113,Client_Register!$T$7+E23-(E23*MIN(1,Client_Register!$J$7/30)+0*MIN(1,MAX(0,(Client_Register!$J$7-30)/30))+0*MIN(1,MAX(0,(Client_Register!$J$7-60)/30))))</f>
        <v>41018.64</v>
      </c>
      <c r="F24" s="60" t="n">
        <f aca="false">IF(F$5="A",Inputs_Actuals!F113,E25+F23-(F23*MIN(1,Client_Register!$J$7/30)+E23*MIN(1,MAX(0,(Client_Register!$J$7-30)/30))+0*MIN(1,MAX(0,(Client_Register!$J$7-60)/30))))</f>
        <v>84117.35</v>
      </c>
      <c r="G24" s="60" t="n">
        <f aca="false">IF(G$5="A",Inputs_Actuals!G113,F25+G23-(G23*MIN(1,Client_Register!$J$7/30)+F23*MIN(1,MAX(0,(Client_Register!$J$7-30)/30))+E23*MIN(1,MAX(0,(Client_Register!$J$7-60)/30))))</f>
        <v>42294.42</v>
      </c>
      <c r="H24" s="60" t="n">
        <f aca="false">IF(H$5="A",Inputs_Actuals!H113,G25+H23-(H23*MIN(1,Client_Register!$J$7/30)+G23*MIN(1,MAX(0,(Client_Register!$J$7-30)/30))+F23*MIN(1,MAX(0,(Client_Register!$J$7-60)/30))))</f>
        <v>66531.52</v>
      </c>
      <c r="I24" s="60" t="n">
        <f aca="false">IF(I$5="A",Inputs_Actuals!I113,H25+I23-(I23*MIN(1,Client_Register!$J$7/30)+H23*MIN(1,MAX(0,(Client_Register!$J$7-30)/30))+G23*MIN(1,MAX(0,(Client_Register!$J$7-60)/30))))</f>
        <v>43620.08</v>
      </c>
      <c r="J24" s="60" t="n">
        <f aca="false">IF(J$5="A",Inputs_Actuals!J113,I25+J23-(J23*MIN(1,Client_Register!$J$7/30)+I23*MIN(1,MAX(0,(Client_Register!$J$7-30)/30))+H23*MIN(1,MAX(0,(Client_Register!$J$7-60)/30))))</f>
        <v>49695.84</v>
      </c>
      <c r="K24" s="60" t="n">
        <f aca="false">IF(K$5="A",Inputs_Actuals!K113,J25+K23-(K23*MIN(1,Client_Register!$J$7/30)+J23*MIN(1,MAX(0,(Client_Register!$J$7-30)/30))+I23*MIN(1,MAX(0,(Client_Register!$J$7-60)/30))))</f>
        <v>41559.96</v>
      </c>
      <c r="L24" s="60" t="n">
        <f aca="false">IF(L$5="A",Inputs_Actuals!L113,K25+L23-(L23*MIN(1,Client_Register!$J$7/30)+K23*MIN(1,MAX(0,(Client_Register!$J$7-30)/30))+J23*MIN(1,MAX(0,(Client_Register!$J$7-60)/30))))</f>
        <v>61230.8</v>
      </c>
      <c r="M24" s="60" t="n">
        <f aca="false">IF(M$5="A",Inputs_Actuals!M113,L25+M23-(M23*MIN(1,Client_Register!$J$7/30)+L23*MIN(1,MAX(0,(Client_Register!$J$7-30)/30))+K23*MIN(1,MAX(0,(Client_Register!$J$7-60)/30))))</f>
        <v>44710.42</v>
      </c>
      <c r="N24" s="60" t="n">
        <f aca="false">IF(N$5="A",Inputs_Actuals!N113,M25+N23-(N23*MIN(1,Client_Register!$J$7/30)+M23*MIN(1,MAX(0,(Client_Register!$J$7-30)/30))+L23*MIN(1,MAX(0,(Client_Register!$J$7-60)/30))))</f>
        <v>70333.3333333333</v>
      </c>
      <c r="O24" s="60" t="n">
        <f aca="false">IF(O$5="A",Inputs_Actuals!O113,N25+O23-(O23*MIN(1,Client_Register!$J$7/30)+N23*MIN(1,MAX(0,(Client_Register!$J$7-30)/30))+M23*MIN(1,MAX(0,(Client_Register!$J$7-60)/30))))</f>
        <v>47666.6666666667</v>
      </c>
      <c r="P24" s="60" t="n">
        <f aca="false">IF(P$5="A",Inputs_Actuals!P113,O25+P23-(P23*MIN(1,Client_Register!$J$7/30)+O23*MIN(1,MAX(0,(Client_Register!$J$7-30)/30))+N23*MIN(1,MAX(0,(Client_Register!$J$7-60)/30))))</f>
        <v>63250</v>
      </c>
      <c r="Q24" s="60" t="n">
        <f aca="false">IF(Q$5="A",Inputs_Actuals!Q113,P25+Q23-(Q23*MIN(1,Client_Register!$J$7/30)+P23*MIN(1,MAX(0,(Client_Register!$J$7-30)/30))+O23*MIN(1,MAX(0,(Client_Register!$J$7-60)/30))))</f>
        <v>46250</v>
      </c>
      <c r="R24" s="60" t="n">
        <f aca="false">IF(R$5="A",Inputs_Actuals!R113,Q25+R23-(R23*MIN(1,Client_Register!$J$7/30)+Q23*MIN(1,MAX(0,(Client_Register!$J$7-30)/30))+P23*MIN(1,MAX(0,(Client_Register!$J$7-60)/30))))</f>
        <v>43400</v>
      </c>
      <c r="S24" s="60" t="n">
        <f aca="false">IF(S$5="A",Inputs_Actuals!S113,R25+S23-(S23*MIN(1,Client_Register!$J$7/30)+R23*MIN(1,MAX(0,(Client_Register!$J$7-30)/30))+Q23*MIN(1,MAX(0,(Client_Register!$J$7-60)/30))))</f>
        <v>43680</v>
      </c>
      <c r="T24" s="60" t="n">
        <f aca="false">IF(T$5="A",Inputs_Actuals!T113,S25+T23-(T23*MIN(1,Client_Register!$J$7/30)+S23*MIN(1,MAX(0,(Client_Register!$J$7-30)/30))+R23*MIN(1,MAX(0,(Client_Register!$J$7-60)/30))))</f>
        <v>46680</v>
      </c>
      <c r="U24" s="60" t="n">
        <f aca="false">IF(U$5="A",Inputs_Actuals!U113,T25+U23-(U23*MIN(1,Client_Register!$J$7/30)+T23*MIN(1,MAX(0,(Client_Register!$J$7-30)/30))+S23*MIN(1,MAX(0,(Client_Register!$J$7-60)/30))))</f>
        <v>47280</v>
      </c>
      <c r="V24" s="60" t="n">
        <f aca="false">IF(V$5="A",Inputs_Actuals!V113,U25+V23-(V23*MIN(1,Client_Register!$J$7/30)+U23*MIN(1,MAX(0,(Client_Register!$J$7-30)/30))+T23*MIN(1,MAX(0,(Client_Register!$J$7-60)/30))))</f>
        <v>47280</v>
      </c>
      <c r="W24" s="60" t="n">
        <f aca="false">IF(W$5="A",Inputs_Actuals!W113,V25+W23-(W23*MIN(1,Client_Register!$J$7/30)+V23*MIN(1,MAX(0,(Client_Register!$J$7-30)/30))+U23*MIN(1,MAX(0,(Client_Register!$J$7-60)/30))))</f>
        <v>47280</v>
      </c>
      <c r="X24" s="60" t="n">
        <f aca="false">IF(X$5="A",Inputs_Actuals!X113,W25+X23-(X23*MIN(1,Client_Register!$J$7/30)+W23*MIN(1,MAX(0,(Client_Register!$J$7-30)/30))+V23*MIN(1,MAX(0,(Client_Register!$J$7-60)/30))))</f>
        <v>47280</v>
      </c>
      <c r="Y24" s="60" t="n">
        <f aca="false">IF(Y$5="A",Inputs_Actuals!Y113,X25+Y23-(Y23*MIN(1,Client_Register!$J$7/30)+X23*MIN(1,MAX(0,(Client_Register!$J$7-30)/30))+W23*MIN(1,MAX(0,(Client_Register!$J$7-60)/30))))</f>
        <v>47280</v>
      </c>
      <c r="Z24" s="60" t="n">
        <f aca="false">IF(Z$5="A",Inputs_Actuals!Z113,Y25+Z23-(Z23*MIN(1,Client_Register!$J$7/30)+Y23*MIN(1,MAX(0,(Client_Register!$J$7-30)/30))+X23*MIN(1,MAX(0,(Client_Register!$J$7-60)/30))))</f>
        <v>47280</v>
      </c>
      <c r="AA24" s="60" t="n">
        <f aca="false">IF(AA$5="A",Inputs_Actuals!AA113,Z25+AA23-(AA23*MIN(1,Client_Register!$J$7/30)+Z23*MIN(1,MAX(0,(Client_Register!$J$7-30)/30))+Y23*MIN(1,MAX(0,(Client_Register!$J$7-60)/30))))</f>
        <v>47280</v>
      </c>
      <c r="AB24" s="60" t="n">
        <f aca="false">IF(AB$5="A",Inputs_Actuals!AB113,AA25+AB23-(AB23*MIN(1,Client_Register!$J$7/30)+AA23*MIN(1,MAX(0,(Client_Register!$J$7-30)/30))+Z23*MIN(1,MAX(0,(Client_Register!$J$7-60)/30))))</f>
        <v>47280</v>
      </c>
    </row>
    <row r="25" customFormat="false" ht="15" hidden="false" customHeight="false" outlineLevel="0" collapsed="false">
      <c r="A25" s="68" t="s">
        <v>719</v>
      </c>
      <c r="B25" s="69" t="s">
        <v>720</v>
      </c>
      <c r="C25" s="70" t="n">
        <f aca="false">P25</f>
        <v>53250</v>
      </c>
      <c r="D25" s="70" t="n">
        <f aca="false">AB25</f>
        <v>55160</v>
      </c>
      <c r="E25" s="74" t="n">
        <f aca="false">Client_Register!$T$7+E23-E24</f>
        <v>92760.39</v>
      </c>
      <c r="F25" s="70" t="n">
        <f aca="false">E25+F23-F24</f>
        <v>50643.04</v>
      </c>
      <c r="G25" s="70" t="n">
        <f aca="false">F25+G23-G24</f>
        <v>78848.62</v>
      </c>
      <c r="H25" s="70" t="n">
        <f aca="false">G25+H23-H24</f>
        <v>54317.1</v>
      </c>
      <c r="I25" s="70" t="n">
        <f aca="false">H25+I23-I24</f>
        <v>52697.02</v>
      </c>
      <c r="J25" s="70" t="n">
        <f aca="false">I25+J23-J24</f>
        <v>45001.18</v>
      </c>
      <c r="K25" s="70" t="n">
        <f aca="false">J25+K23-K24</f>
        <v>70941.22</v>
      </c>
      <c r="L25" s="70" t="n">
        <f aca="false">K25+L23-L24</f>
        <v>51710.42</v>
      </c>
      <c r="M25" s="70" t="n">
        <f aca="false">L25+M23-M24</f>
        <v>83000</v>
      </c>
      <c r="N25" s="70" t="n">
        <f aca="false">M25+N23-N24</f>
        <v>54666.6666666667</v>
      </c>
      <c r="O25" s="70" t="n">
        <f aca="false">N25+O23-O24</f>
        <v>74500</v>
      </c>
      <c r="P25" s="70" t="n">
        <f aca="false">O25+P23-P24</f>
        <v>53250</v>
      </c>
      <c r="Q25" s="70" t="n">
        <f aca="false">P25+Q23-Q24</f>
        <v>50680</v>
      </c>
      <c r="R25" s="70" t="n">
        <f aca="false">Q25+R23-R24</f>
        <v>50960</v>
      </c>
      <c r="S25" s="70" t="n">
        <f aca="false">R25+S23-S24</f>
        <v>54560</v>
      </c>
      <c r="T25" s="70" t="n">
        <f aca="false">S25+T23-T24</f>
        <v>55160</v>
      </c>
      <c r="U25" s="70" t="n">
        <f aca="false">T25+U23-U24</f>
        <v>55160</v>
      </c>
      <c r="V25" s="70" t="n">
        <f aca="false">U25+V23-V24</f>
        <v>55160</v>
      </c>
      <c r="W25" s="70" t="n">
        <f aca="false">V25+W23-W24</f>
        <v>55160</v>
      </c>
      <c r="X25" s="70" t="n">
        <f aca="false">W25+X23-X24</f>
        <v>55160</v>
      </c>
      <c r="Y25" s="70" t="n">
        <f aca="false">X25+Y23-Y24</f>
        <v>55160</v>
      </c>
      <c r="Z25" s="70" t="n">
        <f aca="false">Y25+Z23-Z24</f>
        <v>55160</v>
      </c>
      <c r="AA25" s="70" t="n">
        <f aca="false">Z25+AA23-AA24</f>
        <v>55160</v>
      </c>
      <c r="AB25" s="70" t="n">
        <f aca="false">AA25+AB23-AB24</f>
        <v>55160</v>
      </c>
    </row>
    <row r="26" customFormat="false" ht="15" hidden="false" customHeight="false" outlineLevel="0" collapsed="false">
      <c r="A26" s="28" t="s">
        <v>721</v>
      </c>
      <c r="B26" s="58" t="s">
        <v>722</v>
      </c>
      <c r="C26" s="59" t="n">
        <f aca="false">P26</f>
        <v>0</v>
      </c>
      <c r="D26" s="59" t="n">
        <f aca="false">AB26</f>
        <v>0</v>
      </c>
      <c r="E26" s="60" t="n">
        <f aca="false">Client_Register!$U$7+E14-(E21-E20)</f>
        <v>4949.5</v>
      </c>
      <c r="F26" s="71" t="n">
        <f aca="false">E26+F14-(F21-F20)</f>
        <v>19826.5</v>
      </c>
      <c r="G26" s="71" t="n">
        <f aca="false">F26+G14-(G21-G20)</f>
        <v>0</v>
      </c>
      <c r="H26" s="71" t="n">
        <f aca="false">G26+H14-(H21-H20)</f>
        <v>0</v>
      </c>
      <c r="I26" s="71" t="n">
        <f aca="false">H26+I14-(I21-I20)</f>
        <v>0</v>
      </c>
      <c r="J26" s="71" t="n">
        <f aca="false">I26+J14-(J21-J20)</f>
        <v>0</v>
      </c>
      <c r="K26" s="71" t="n">
        <f aca="false">J26+K14-(K21-K20)</f>
        <v>-17265.62</v>
      </c>
      <c r="L26" s="71" t="n">
        <f aca="false">K26+L14-(L21-L20)</f>
        <v>4451.88</v>
      </c>
      <c r="M26" s="71" t="n">
        <f aca="false">L26+M14-(M21-M20)</f>
        <v>-4402.68518518517</v>
      </c>
      <c r="N26" s="71" t="n">
        <f aca="false">M26+N14-(N21-N20)</f>
        <v>16665.1157407408</v>
      </c>
      <c r="O26" s="71" t="n">
        <f aca="false">N26+O14-(O21-O20)</f>
        <v>0</v>
      </c>
      <c r="P26" s="71" t="n">
        <f aca="false">O26+P14-(P21-P20)</f>
        <v>0</v>
      </c>
      <c r="Q26" s="71" t="n">
        <f aca="false">P26+Q14-(Q21-Q20)</f>
        <v>0</v>
      </c>
      <c r="R26" s="71" t="n">
        <f aca="false">Q26+R14-(R21-R20)</f>
        <v>0</v>
      </c>
      <c r="S26" s="71" t="n">
        <f aca="false">R26+S14-(S21-S20)</f>
        <v>0</v>
      </c>
      <c r="T26" s="71" t="n">
        <f aca="false">S26+T14-(T21-T20)</f>
        <v>0</v>
      </c>
      <c r="U26" s="71" t="n">
        <f aca="false">T26+U14-(U21-U20)</f>
        <v>0</v>
      </c>
      <c r="V26" s="71" t="n">
        <f aca="false">U26+V14-(V21-V20)</f>
        <v>0</v>
      </c>
      <c r="W26" s="71" t="n">
        <f aca="false">V26+W14-(W21-W20)</f>
        <v>0</v>
      </c>
      <c r="X26" s="71" t="n">
        <f aca="false">W26+X14-(X21-X20)</f>
        <v>0</v>
      </c>
      <c r="Y26" s="71" t="n">
        <f aca="false">X26+Y14-(Y21-Y20)</f>
        <v>0</v>
      </c>
      <c r="Z26" s="71" t="n">
        <f aca="false">Y26+Z14-(Z21-Z20)</f>
        <v>0</v>
      </c>
      <c r="AA26" s="71" t="n">
        <f aca="false">Z26+AA14-(AA21-AA20)</f>
        <v>0</v>
      </c>
      <c r="AB26" s="71" t="n">
        <f aca="false">AA26+AB14-(AB21-AB20)</f>
        <v>0</v>
      </c>
    </row>
    <row r="27" customFormat="false" ht="15" hidden="false" customHeight="false" outlineLevel="0" collapsed="false">
      <c r="A27" s="28" t="s">
        <v>723</v>
      </c>
      <c r="B27" s="58"/>
      <c r="C27" s="59" t="n">
        <f aca="false">P27</f>
        <v>62173.0805155987</v>
      </c>
      <c r="D27" s="59" t="n">
        <f aca="false">AB27</f>
        <v>64403.1384270503</v>
      </c>
      <c r="E27" s="60" t="n">
        <f aca="false">E25/FX!E10</f>
        <v>107088.882475179</v>
      </c>
      <c r="F27" s="60" t="n">
        <f aca="false">F25/FX!F10</f>
        <v>57791.8977519115</v>
      </c>
      <c r="G27" s="60" t="n">
        <f aca="false">G25/FX!G10</f>
        <v>90804.9013623853</v>
      </c>
      <c r="H27" s="60" t="n">
        <f aca="false">H25/FX!H10</f>
        <v>62703.722943723</v>
      </c>
      <c r="I27" s="60" t="n">
        <f aca="false">I25/FX!I10</f>
        <v>60764.7567542636</v>
      </c>
      <c r="J27" s="60" t="n">
        <f aca="false">J25/FX!J10</f>
        <v>52218.8725660842</v>
      </c>
      <c r="K27" s="60" t="n">
        <f aca="false">K25/FX!K10</f>
        <v>82901.4058172555</v>
      </c>
      <c r="L27" s="60" t="n">
        <f aca="false">L25/FX!L10</f>
        <v>60375.5137306183</v>
      </c>
      <c r="M27" s="60" t="n">
        <f aca="false">M25/FX!M10</f>
        <v>96908.2757332337</v>
      </c>
      <c r="N27" s="60" t="n">
        <f aca="false">N25/FX!N10</f>
        <v>63827.1374307242</v>
      </c>
      <c r="O27" s="60" t="n">
        <f aca="false">O25/FX!O10</f>
        <v>86983.9342424809</v>
      </c>
      <c r="P27" s="60" t="n">
        <f aca="false">P25/FX!P10</f>
        <v>62173.0805155987</v>
      </c>
      <c r="Q27" s="60" t="n">
        <f aca="false">Q25/FX!Q10</f>
        <v>59172.4266766299</v>
      </c>
      <c r="R27" s="60" t="n">
        <f aca="false">R25/FX!R10</f>
        <v>59499.3461610312</v>
      </c>
      <c r="S27" s="60" t="n">
        <f aca="false">S25/FX!S10</f>
        <v>63702.5966747618</v>
      </c>
      <c r="T27" s="60" t="n">
        <f aca="false">T25/FX!T10</f>
        <v>64403.1384270503</v>
      </c>
      <c r="U27" s="60" t="n">
        <f aca="false">U25/FX!U10</f>
        <v>64403.1384270503</v>
      </c>
      <c r="V27" s="60" t="n">
        <f aca="false">V25/FX!V10</f>
        <v>64403.1384270503</v>
      </c>
      <c r="W27" s="60" t="n">
        <f aca="false">W25/FX!W10</f>
        <v>64403.1384270503</v>
      </c>
      <c r="X27" s="60" t="n">
        <f aca="false">X25/FX!X10</f>
        <v>64403.1384270503</v>
      </c>
      <c r="Y27" s="60" t="n">
        <f aca="false">Y25/FX!Y10</f>
        <v>64403.1384270503</v>
      </c>
      <c r="Z27" s="60" t="n">
        <f aca="false">Z25/FX!Z10</f>
        <v>64403.1384270503</v>
      </c>
      <c r="AA27" s="60" t="n">
        <f aca="false">AA25/FX!AA10</f>
        <v>64403.1384270503</v>
      </c>
      <c r="AB27" s="60" t="n">
        <f aca="false">AB25/FX!AB10</f>
        <v>64403.1384270503</v>
      </c>
    </row>
    <row r="28" customFormat="false" ht="15" hidden="false" customHeight="false" outlineLevel="0" collapsed="false">
      <c r="A28" s="28" t="s">
        <v>724</v>
      </c>
      <c r="B28" s="58"/>
      <c r="C28" s="66" t="n">
        <f aca="false">P28</f>
        <v>32.0554455445545</v>
      </c>
      <c r="D28" s="66" t="n">
        <f aca="false">AB28</f>
        <v>35.4666666666667</v>
      </c>
      <c r="E28" s="72" t="n">
        <f aca="false">IFERROR(E25/AVERAGE(E23:E23)*30.4,0)</f>
        <v>35.2489482</v>
      </c>
      <c r="F28" s="72" t="n">
        <f aca="false">IFERROR(F25/AVERAGE(E23:F23)*30.4,0)</f>
        <v>25.2384986229508</v>
      </c>
      <c r="G28" s="72" t="n">
        <f aca="false">IFERROR(G25/AVERAGE(E23:G23)*30.4,0)</f>
        <v>37.3558137350649</v>
      </c>
      <c r="H28" s="72" t="n">
        <f aca="false">IFERROR(H25/AVERAGE(F23:H23)*30.4,0)</f>
        <v>32.0629095145631</v>
      </c>
      <c r="I28" s="72" t="n">
        <f aca="false">IFERROR(I25/AVERAGE(G23:I23)*30.4,0)</f>
        <v>31.1065904466019</v>
      </c>
      <c r="J28" s="72" t="n">
        <f aca="false">IFERROR(J25/AVERAGE(H23:J23)*30.4,0)</f>
        <v>32.5722826666667</v>
      </c>
      <c r="K28" s="72" t="n">
        <f aca="false">IFERROR(K25/AVERAGE(I23:K23)*30.4,0)</f>
        <v>42.7052096633663</v>
      </c>
      <c r="L28" s="72" t="n">
        <f aca="false">IFERROR(L25/AVERAGE(J23:L23)*30.4,0)</f>
        <v>31.1286488712871</v>
      </c>
      <c r="M28" s="72" t="n">
        <f aca="false">IFERROR(M25/AVERAGE(K23:M23)*30.4,0)</f>
        <v>40.8064690026954</v>
      </c>
      <c r="N28" s="72" t="n">
        <f aca="false">IFERROR(N25/AVERAGE(L23:N23)*30.4,0)</f>
        <v>31.16</v>
      </c>
      <c r="O28" s="72" t="n">
        <f aca="false">IFERROR(O25/AVERAGE(M23:O23)*30.4,0)</f>
        <v>36.6274932614555</v>
      </c>
      <c r="P28" s="72" t="n">
        <f aca="false">IFERROR(P25/AVERAGE(N23:P23)*30.4,0)</f>
        <v>32.0554455445545</v>
      </c>
      <c r="Q28" s="72" t="n">
        <f aca="false">IFERROR(Q25/AVERAGE(O23:Q23)*30.4,0)</f>
        <v>30.1737563650607</v>
      </c>
      <c r="R28" s="72" t="n">
        <f aca="false">IFERROR(R25/AVERAGE(P23:R23)*30.4,0)</f>
        <v>35.9272727272727</v>
      </c>
      <c r="S28" s="72" t="n">
        <f aca="false">IFERROR(S25/AVERAGE(Q23:S23)*30.4,0)</f>
        <v>36.956862745098</v>
      </c>
      <c r="T28" s="72" t="n">
        <f aca="false">IFERROR(T25/AVERAGE(R23:T23)*30.4,0)</f>
        <v>36.3902777777778</v>
      </c>
      <c r="U28" s="72" t="n">
        <f aca="false">IFERROR(U25/AVERAGE(S23:U23)*30.4,0)</f>
        <v>35.4666666666667</v>
      </c>
      <c r="V28" s="72" t="n">
        <f aca="false">IFERROR(V25/AVERAGE(T23:V23)*30.4,0)</f>
        <v>35.4666666666667</v>
      </c>
      <c r="W28" s="72" t="n">
        <f aca="false">IFERROR(W25/AVERAGE(U23:W23)*30.4,0)</f>
        <v>35.4666666666667</v>
      </c>
      <c r="X28" s="72" t="n">
        <f aca="false">IFERROR(X25/AVERAGE(V23:X23)*30.4,0)</f>
        <v>35.4666666666667</v>
      </c>
      <c r="Y28" s="72" t="n">
        <f aca="false">IFERROR(Y25/AVERAGE(W23:Y23)*30.4,0)</f>
        <v>35.4666666666667</v>
      </c>
      <c r="Z28" s="72" t="n">
        <f aca="false">IFERROR(Z25/AVERAGE(X23:Z23)*30.4,0)</f>
        <v>35.4666666666667</v>
      </c>
      <c r="AA28" s="72" t="n">
        <f aca="false">IFERROR(AA25/AVERAGE(Y23:AA23)*30.4,0)</f>
        <v>35.4666666666667</v>
      </c>
      <c r="AB28" s="72" t="n">
        <f aca="false">IFERROR(AB25/AVERAGE(Z23:AB23)*30.4,0)</f>
        <v>35.4666666666667</v>
      </c>
    </row>
    <row r="30" customFormat="false" ht="15" hidden="false" customHeight="false" outlineLevel="0" collapsed="false">
      <c r="A30" s="22" t="s">
        <v>725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row>
    <row r="31" customFormat="false" ht="15" hidden="false" customHeight="false" outlineLevel="0" collapsed="false">
      <c r="A31" s="28" t="s">
        <v>331</v>
      </c>
      <c r="B31" s="58" t="s">
        <v>49</v>
      </c>
      <c r="C31" s="59" t="n">
        <f aca="false">SUM(E31:P31)</f>
        <v>180000</v>
      </c>
      <c r="D31" s="59" t="n">
        <f aca="false">SUM(Q31:AB31)</f>
        <v>171360</v>
      </c>
      <c r="E31" s="60" t="n">
        <f aca="false">Retainers!E20</f>
        <v>15000</v>
      </c>
      <c r="F31" s="60" t="n">
        <f aca="false">Retainers!F20</f>
        <v>15000</v>
      </c>
      <c r="G31" s="60" t="n">
        <f aca="false">Retainers!G20</f>
        <v>15000</v>
      </c>
      <c r="H31" s="60" t="n">
        <f aca="false">Retainers!H20</f>
        <v>15000</v>
      </c>
      <c r="I31" s="60" t="n">
        <f aca="false">Retainers!I20</f>
        <v>15000</v>
      </c>
      <c r="J31" s="60" t="n">
        <f aca="false">Retainers!J20</f>
        <v>15000</v>
      </c>
      <c r="K31" s="60" t="n">
        <f aca="false">Retainers!K20</f>
        <v>15000</v>
      </c>
      <c r="L31" s="60" t="n">
        <f aca="false">Retainers!L20</f>
        <v>15000</v>
      </c>
      <c r="M31" s="60" t="n">
        <f aca="false">Retainers!M20</f>
        <v>15000</v>
      </c>
      <c r="N31" s="60" t="n">
        <f aca="false">Retainers!N20</f>
        <v>15000</v>
      </c>
      <c r="O31" s="60" t="n">
        <f aca="false">Retainers!O20</f>
        <v>15000</v>
      </c>
      <c r="P31" s="60" t="n">
        <f aca="false">Retainers!P20</f>
        <v>15000</v>
      </c>
      <c r="Q31" s="60" t="n">
        <f aca="false">Retainers!Q20</f>
        <v>15000</v>
      </c>
      <c r="R31" s="60" t="n">
        <f aca="false">Retainers!R20</f>
        <v>15000</v>
      </c>
      <c r="S31" s="60" t="n">
        <f aca="false">Retainers!S20</f>
        <v>15000</v>
      </c>
      <c r="T31" s="60" t="n">
        <f aca="false">Retainers!T20</f>
        <v>14040</v>
      </c>
      <c r="U31" s="60" t="n">
        <f aca="false">Retainers!U20</f>
        <v>14040</v>
      </c>
      <c r="V31" s="60" t="n">
        <f aca="false">Retainers!V20</f>
        <v>14040</v>
      </c>
      <c r="W31" s="60" t="n">
        <f aca="false">Retainers!W20</f>
        <v>14040</v>
      </c>
      <c r="X31" s="60" t="n">
        <f aca="false">Retainers!X20</f>
        <v>14040</v>
      </c>
      <c r="Y31" s="60" t="n">
        <f aca="false">Retainers!Y20</f>
        <v>14040</v>
      </c>
      <c r="Z31" s="60" t="n">
        <f aca="false">Retainers!Z20</f>
        <v>14040</v>
      </c>
      <c r="AA31" s="60" t="n">
        <f aca="false">Retainers!AA20</f>
        <v>14040</v>
      </c>
      <c r="AB31" s="60" t="n">
        <f aca="false">Retainers!AB20</f>
        <v>14040</v>
      </c>
    </row>
    <row r="32" customFormat="false" ht="15" hidden="false" customHeight="false" outlineLevel="0" collapsed="false">
      <c r="A32" s="28" t="s">
        <v>700</v>
      </c>
      <c r="B32" s="58" t="s">
        <v>51</v>
      </c>
      <c r="C32" s="59" t="n">
        <f aca="false">SUM(E32:P32)</f>
        <v>0</v>
      </c>
      <c r="D32" s="59" t="n">
        <f aca="false">SUM(Q32:AB32)</f>
        <v>0</v>
      </c>
      <c r="E32" s="71" t="n">
        <f aca="false">0</f>
        <v>0</v>
      </c>
      <c r="F32" s="71" t="n">
        <f aca="false">0</f>
        <v>0</v>
      </c>
      <c r="G32" s="71" t="n">
        <f aca="false">0</f>
        <v>0</v>
      </c>
      <c r="H32" s="71" t="n">
        <f aca="false">0</f>
        <v>0</v>
      </c>
      <c r="I32" s="71" t="n">
        <f aca="false">0</f>
        <v>0</v>
      </c>
      <c r="J32" s="71" t="n">
        <f aca="false">0</f>
        <v>0</v>
      </c>
      <c r="K32" s="71" t="n">
        <f aca="false">0</f>
        <v>0</v>
      </c>
      <c r="L32" s="71" t="n">
        <f aca="false">0</f>
        <v>0</v>
      </c>
      <c r="M32" s="71" t="n">
        <f aca="false">0</f>
        <v>0</v>
      </c>
      <c r="N32" s="71" t="n">
        <f aca="false">0</f>
        <v>0</v>
      </c>
      <c r="O32" s="71" t="n">
        <f aca="false">0</f>
        <v>0</v>
      </c>
      <c r="P32" s="71" t="n">
        <f aca="false">0</f>
        <v>0</v>
      </c>
      <c r="Q32" s="71" t="n">
        <f aca="false">0</f>
        <v>0</v>
      </c>
      <c r="R32" s="71" t="n">
        <f aca="false">0</f>
        <v>0</v>
      </c>
      <c r="S32" s="71" t="n">
        <f aca="false">0</f>
        <v>0</v>
      </c>
      <c r="T32" s="71" t="n">
        <f aca="false">0</f>
        <v>0</v>
      </c>
      <c r="U32" s="71" t="n">
        <f aca="false">0</f>
        <v>0</v>
      </c>
      <c r="V32" s="71" t="n">
        <f aca="false">0</f>
        <v>0</v>
      </c>
      <c r="W32" s="71" t="n">
        <f aca="false">0</f>
        <v>0</v>
      </c>
      <c r="X32" s="71" t="n">
        <f aca="false">0</f>
        <v>0</v>
      </c>
      <c r="Y32" s="71" t="n">
        <f aca="false">0</f>
        <v>0</v>
      </c>
      <c r="Z32" s="71" t="n">
        <f aca="false">0</f>
        <v>0</v>
      </c>
      <c r="AA32" s="71" t="n">
        <f aca="false">0</f>
        <v>0</v>
      </c>
      <c r="AB32" s="71" t="n">
        <f aca="false">0</f>
        <v>0</v>
      </c>
    </row>
    <row r="33" customFormat="false" ht="15" hidden="false" customHeight="false" outlineLevel="0" collapsed="false">
      <c r="A33" s="28" t="s">
        <v>333</v>
      </c>
      <c r="B33" s="58" t="s">
        <v>53</v>
      </c>
      <c r="C33" s="59" t="n">
        <f aca="false">SUM(E33:P33)</f>
        <v>0</v>
      </c>
      <c r="D33" s="59" t="n">
        <f aca="false">SUM(Q33:AB33)</f>
        <v>0</v>
      </c>
      <c r="E33" s="71" t="n">
        <f aca="false">0</f>
        <v>0</v>
      </c>
      <c r="F33" s="71" t="n">
        <f aca="false">0</f>
        <v>0</v>
      </c>
      <c r="G33" s="71" t="n">
        <f aca="false">0</f>
        <v>0</v>
      </c>
      <c r="H33" s="71" t="n">
        <f aca="false">0</f>
        <v>0</v>
      </c>
      <c r="I33" s="71" t="n">
        <f aca="false">0</f>
        <v>0</v>
      </c>
      <c r="J33" s="71" t="n">
        <f aca="false">0</f>
        <v>0</v>
      </c>
      <c r="K33" s="71" t="n">
        <f aca="false">0</f>
        <v>0</v>
      </c>
      <c r="L33" s="71" t="n">
        <f aca="false">0</f>
        <v>0</v>
      </c>
      <c r="M33" s="71" t="n">
        <f aca="false">0</f>
        <v>0</v>
      </c>
      <c r="N33" s="71" t="n">
        <f aca="false">0</f>
        <v>0</v>
      </c>
      <c r="O33" s="71" t="n">
        <f aca="false">0</f>
        <v>0</v>
      </c>
      <c r="P33" s="71" t="n">
        <f aca="false">0</f>
        <v>0</v>
      </c>
      <c r="Q33" s="71" t="n">
        <f aca="false">0</f>
        <v>0</v>
      </c>
      <c r="R33" s="71" t="n">
        <f aca="false">0</f>
        <v>0</v>
      </c>
      <c r="S33" s="71" t="n">
        <f aca="false">0</f>
        <v>0</v>
      </c>
      <c r="T33" s="71" t="n">
        <f aca="false">0</f>
        <v>0</v>
      </c>
      <c r="U33" s="71" t="n">
        <f aca="false">0</f>
        <v>0</v>
      </c>
      <c r="V33" s="71" t="n">
        <f aca="false">0</f>
        <v>0</v>
      </c>
      <c r="W33" s="71" t="n">
        <f aca="false">0</f>
        <v>0</v>
      </c>
      <c r="X33" s="71" t="n">
        <f aca="false">0</f>
        <v>0</v>
      </c>
      <c r="Y33" s="71" t="n">
        <f aca="false">0</f>
        <v>0</v>
      </c>
      <c r="Z33" s="71" t="n">
        <f aca="false">0</f>
        <v>0</v>
      </c>
      <c r="AA33" s="71" t="n">
        <f aca="false">0</f>
        <v>0</v>
      </c>
      <c r="AB33" s="71" t="n">
        <f aca="false">0</f>
        <v>0</v>
      </c>
    </row>
    <row r="34" customFormat="false" ht="15" hidden="false" customHeight="false" outlineLevel="0" collapsed="false">
      <c r="A34" s="28" t="s">
        <v>334</v>
      </c>
      <c r="B34" s="58" t="s">
        <v>53</v>
      </c>
      <c r="C34" s="59" t="n">
        <f aca="false">SUM(E34:P34)</f>
        <v>68414.74</v>
      </c>
      <c r="D34" s="59" t="n">
        <f aca="false">SUM(Q34:AB34)</f>
        <v>60857.5</v>
      </c>
      <c r="E34" s="60" t="n">
        <f aca="false">TM_Media!E39</f>
        <v>5174.76</v>
      </c>
      <c r="F34" s="60" t="n">
        <f aca="false">TM_Media!F39</f>
        <v>4773.96</v>
      </c>
      <c r="G34" s="60" t="n">
        <f aca="false">TM_Media!G39</f>
        <v>5334.27</v>
      </c>
      <c r="H34" s="60" t="n">
        <f aca="false">TM_Media!H39</f>
        <v>6207.19</v>
      </c>
      <c r="I34" s="60" t="n">
        <f aca="false">TM_Media!I39</f>
        <v>5624.28</v>
      </c>
      <c r="J34" s="60" t="n">
        <f aca="false">TM_Media!J39</f>
        <v>4924.87</v>
      </c>
      <c r="K34" s="60" t="n">
        <f aca="false">TM_Media!K39</f>
        <v>4798.89</v>
      </c>
      <c r="L34" s="60" t="n">
        <f aca="false">TM_Media!L39</f>
        <v>6001.52</v>
      </c>
      <c r="M34" s="60" t="n">
        <f aca="false">TM_Media!M39</f>
        <v>5500</v>
      </c>
      <c r="N34" s="60" t="n">
        <f aca="false">TM_Media!N39</f>
        <v>6050</v>
      </c>
      <c r="O34" s="60" t="n">
        <f aca="false">TM_Media!O39</f>
        <v>7425</v>
      </c>
      <c r="P34" s="60" t="n">
        <f aca="false">TM_Media!P39</f>
        <v>6600</v>
      </c>
      <c r="Q34" s="60" t="n">
        <f aca="false">TM_Media!Q39</f>
        <v>4675</v>
      </c>
      <c r="R34" s="60" t="n">
        <f aca="false">TM_Media!R39</f>
        <v>4675</v>
      </c>
      <c r="S34" s="60" t="n">
        <f aca="false">TM_Media!S39</f>
        <v>5225</v>
      </c>
      <c r="T34" s="60" t="n">
        <f aca="false">TM_Media!T39</f>
        <v>4950</v>
      </c>
      <c r="U34" s="60" t="n">
        <f aca="false">TM_Media!U39</f>
        <v>4950</v>
      </c>
      <c r="V34" s="60" t="n">
        <f aca="false">TM_Media!V39</f>
        <v>4702.5</v>
      </c>
      <c r="W34" s="60" t="n">
        <f aca="false">TM_Media!W39</f>
        <v>4207.5</v>
      </c>
      <c r="X34" s="60" t="n">
        <f aca="false">TM_Media!X39</f>
        <v>4455</v>
      </c>
      <c r="Y34" s="60" t="n">
        <f aca="false">TM_Media!Y39</f>
        <v>4950</v>
      </c>
      <c r="Z34" s="60" t="n">
        <f aca="false">TM_Media!Z39</f>
        <v>5445</v>
      </c>
      <c r="AA34" s="60" t="n">
        <f aca="false">TM_Media!AA39</f>
        <v>6682.5</v>
      </c>
      <c r="AB34" s="60" t="n">
        <f aca="false">TM_Media!AB39</f>
        <v>5940</v>
      </c>
    </row>
    <row r="35" customFormat="false" ht="15" hidden="false" customHeight="false" outlineLevel="0" collapsed="false">
      <c r="A35" s="28" t="s">
        <v>701</v>
      </c>
      <c r="B35" s="58" t="s">
        <v>51</v>
      </c>
      <c r="C35" s="59" t="n">
        <f aca="false">SUM(E35:P35)</f>
        <v>0</v>
      </c>
      <c r="D35" s="59" t="n">
        <f aca="false">SUM(Q35:AB35)</f>
        <v>0</v>
      </c>
      <c r="E35" s="71" t="n">
        <f aca="false">0</f>
        <v>0</v>
      </c>
      <c r="F35" s="71" t="n">
        <f aca="false">0</f>
        <v>0</v>
      </c>
      <c r="G35" s="71" t="n">
        <f aca="false">0</f>
        <v>0</v>
      </c>
      <c r="H35" s="71" t="n">
        <f aca="false">0</f>
        <v>0</v>
      </c>
      <c r="I35" s="71" t="n">
        <f aca="false">0</f>
        <v>0</v>
      </c>
      <c r="J35" s="71" t="n">
        <f aca="false">0</f>
        <v>0</v>
      </c>
      <c r="K35" s="71" t="n">
        <f aca="false">0</f>
        <v>0</v>
      </c>
      <c r="L35" s="71" t="n">
        <f aca="false">0</f>
        <v>0</v>
      </c>
      <c r="M35" s="71" t="n">
        <f aca="false">0</f>
        <v>0</v>
      </c>
      <c r="N35" s="71" t="n">
        <f aca="false">0</f>
        <v>0</v>
      </c>
      <c r="O35" s="71" t="n">
        <f aca="false">0</f>
        <v>0</v>
      </c>
      <c r="P35" s="71" t="n">
        <f aca="false">0</f>
        <v>0</v>
      </c>
      <c r="Q35" s="71" t="n">
        <f aca="false">0</f>
        <v>0</v>
      </c>
      <c r="R35" s="71" t="n">
        <f aca="false">0</f>
        <v>0</v>
      </c>
      <c r="S35" s="71" t="n">
        <f aca="false">0</f>
        <v>0</v>
      </c>
      <c r="T35" s="71" t="n">
        <f aca="false">0</f>
        <v>0</v>
      </c>
      <c r="U35" s="71" t="n">
        <f aca="false">0</f>
        <v>0</v>
      </c>
      <c r="V35" s="71" t="n">
        <f aca="false">0</f>
        <v>0</v>
      </c>
      <c r="W35" s="71" t="n">
        <f aca="false">0</f>
        <v>0</v>
      </c>
      <c r="X35" s="71" t="n">
        <f aca="false">0</f>
        <v>0</v>
      </c>
      <c r="Y35" s="71" t="n">
        <f aca="false">0</f>
        <v>0</v>
      </c>
      <c r="Z35" s="71" t="n">
        <f aca="false">0</f>
        <v>0</v>
      </c>
      <c r="AA35" s="71" t="n">
        <f aca="false">0</f>
        <v>0</v>
      </c>
      <c r="AB35" s="71" t="n">
        <f aca="false">0</f>
        <v>0</v>
      </c>
    </row>
    <row r="36" customFormat="false" ht="15" hidden="false" customHeight="false" outlineLevel="0" collapsed="false">
      <c r="A36" s="68" t="s">
        <v>702</v>
      </c>
      <c r="B36" s="69"/>
      <c r="C36" s="70" t="n">
        <f aca="false">SUM(E36:P36)</f>
        <v>248414.74</v>
      </c>
      <c r="D36" s="70" t="n">
        <f aca="false">SUM(Q36:AB36)</f>
        <v>232217.5</v>
      </c>
      <c r="E36" s="70" t="n">
        <f aca="false">SUM(E31:E35)</f>
        <v>20174.76</v>
      </c>
      <c r="F36" s="70" t="n">
        <f aca="false">SUM(F31:F35)</f>
        <v>19773.96</v>
      </c>
      <c r="G36" s="70" t="n">
        <f aca="false">SUM(G31:G35)</f>
        <v>20334.27</v>
      </c>
      <c r="H36" s="70" t="n">
        <f aca="false">SUM(H31:H35)</f>
        <v>21207.19</v>
      </c>
      <c r="I36" s="70" t="n">
        <f aca="false">SUM(I31:I35)</f>
        <v>20624.28</v>
      </c>
      <c r="J36" s="70" t="n">
        <f aca="false">SUM(J31:J35)</f>
        <v>19924.87</v>
      </c>
      <c r="K36" s="70" t="n">
        <f aca="false">SUM(K31:K35)</f>
        <v>19798.89</v>
      </c>
      <c r="L36" s="70" t="n">
        <f aca="false">SUM(L31:L35)</f>
        <v>21001.52</v>
      </c>
      <c r="M36" s="70" t="n">
        <f aca="false">SUM(M31:M35)</f>
        <v>20500</v>
      </c>
      <c r="N36" s="70" t="n">
        <f aca="false">SUM(N31:N35)</f>
        <v>21050</v>
      </c>
      <c r="O36" s="70" t="n">
        <f aca="false">SUM(O31:O35)</f>
        <v>22425</v>
      </c>
      <c r="P36" s="70" t="n">
        <f aca="false">SUM(P31:P35)</f>
        <v>21600</v>
      </c>
      <c r="Q36" s="70" t="n">
        <f aca="false">SUM(Q31:Q35)</f>
        <v>19675</v>
      </c>
      <c r="R36" s="70" t="n">
        <f aca="false">SUM(R31:R35)</f>
        <v>19675</v>
      </c>
      <c r="S36" s="70" t="n">
        <f aca="false">SUM(S31:S35)</f>
        <v>20225</v>
      </c>
      <c r="T36" s="70" t="n">
        <f aca="false">SUM(T31:T35)</f>
        <v>18990</v>
      </c>
      <c r="U36" s="70" t="n">
        <f aca="false">SUM(U31:U35)</f>
        <v>18990</v>
      </c>
      <c r="V36" s="70" t="n">
        <f aca="false">SUM(V31:V35)</f>
        <v>18742.5</v>
      </c>
      <c r="W36" s="70" t="n">
        <f aca="false">SUM(W31:W35)</f>
        <v>18247.5</v>
      </c>
      <c r="X36" s="70" t="n">
        <f aca="false">SUM(X31:X35)</f>
        <v>18495</v>
      </c>
      <c r="Y36" s="70" t="n">
        <f aca="false">SUM(Y31:Y35)</f>
        <v>18990</v>
      </c>
      <c r="Z36" s="70" t="n">
        <f aca="false">SUM(Z31:Z35)</f>
        <v>19485</v>
      </c>
      <c r="AA36" s="70" t="n">
        <f aca="false">SUM(AA31:AA35)</f>
        <v>20722.5</v>
      </c>
      <c r="AB36" s="70" t="n">
        <f aca="false">SUM(AB31:AB35)</f>
        <v>19980</v>
      </c>
    </row>
    <row r="37" customFormat="false" ht="15" hidden="false" customHeight="false" outlineLevel="0" collapsed="false">
      <c r="A37" s="28" t="s">
        <v>703</v>
      </c>
      <c r="B37" s="58"/>
      <c r="C37" s="59" t="n">
        <f aca="false">SUM(E37:P37)</f>
        <v>288009.204994093</v>
      </c>
      <c r="D37" s="59" t="n">
        <f aca="false">SUM(Q37:AB37)</f>
        <v>271130.0906034</v>
      </c>
      <c r="E37" s="60" t="n">
        <f aca="false">E36/FX!E9</f>
        <v>23205.3830227743</v>
      </c>
      <c r="F37" s="60" t="n">
        <f aca="false">F36/FX!F9</f>
        <v>22696.0803443329</v>
      </c>
      <c r="G37" s="60" t="n">
        <f aca="false">G36/FX!G9</f>
        <v>23310.8298655295</v>
      </c>
      <c r="H37" s="60" t="n">
        <f aca="false">H36/FX!H9</f>
        <v>24452.2478063854</v>
      </c>
      <c r="I37" s="60" t="n">
        <f aca="false">I36/FX!I9</f>
        <v>23795.2327110783</v>
      </c>
      <c r="J37" s="60" t="n">
        <f aca="false">J36/FX!J9</f>
        <v>23047.8542510121</v>
      </c>
      <c r="K37" s="60" t="n">
        <f aca="false">K36/FX!K9</f>
        <v>23055.4759825328</v>
      </c>
      <c r="L37" s="60" t="n">
        <f aca="false">L36/FX!L9</f>
        <v>24531.3335903097</v>
      </c>
      <c r="M37" s="60" t="n">
        <f aca="false">M36/FX!M9</f>
        <v>23935.1765365216</v>
      </c>
      <c r="N37" s="60" t="n">
        <f aca="false">N36/FX!N9</f>
        <v>24577.3398094526</v>
      </c>
      <c r="O37" s="60" t="n">
        <f aca="false">O36/FX!O9</f>
        <v>26182.7479917803</v>
      </c>
      <c r="P37" s="60" t="n">
        <f aca="false">P36/FX!P9</f>
        <v>25219.5030823837</v>
      </c>
      <c r="Q37" s="60" t="n">
        <f aca="false">Q36/FX!Q9</f>
        <v>22971.931627125</v>
      </c>
      <c r="R37" s="60" t="n">
        <f aca="false">R36/FX!R9</f>
        <v>22971.931627125</v>
      </c>
      <c r="S37" s="60" t="n">
        <f aca="false">S36/FX!S9</f>
        <v>23614.094900056</v>
      </c>
      <c r="T37" s="60" t="n">
        <f aca="false">T36/FX!T9</f>
        <v>22172.146459929</v>
      </c>
      <c r="U37" s="60" t="n">
        <f aca="false">U36/FX!U9</f>
        <v>22172.146459929</v>
      </c>
      <c r="V37" s="60" t="n">
        <f aca="false">V36/FX!V9</f>
        <v>21883.17298711</v>
      </c>
      <c r="W37" s="60" t="n">
        <f aca="false">W36/FX!W9</f>
        <v>21305.2260414721</v>
      </c>
      <c r="X37" s="60" t="n">
        <f aca="false">X36/FX!X9</f>
        <v>21594.1995142911</v>
      </c>
      <c r="Y37" s="60" t="n">
        <f aca="false">Y36/FX!Y9</f>
        <v>22172.146459929</v>
      </c>
      <c r="Z37" s="60" t="n">
        <f aca="false">Z36/FX!Z9</f>
        <v>22750.093405567</v>
      </c>
      <c r="AA37" s="60" t="n">
        <f aca="false">AA36/FX!AA9</f>
        <v>24194.9607696619</v>
      </c>
      <c r="AB37" s="60" t="n">
        <f aca="false">AB36/FX!AB9</f>
        <v>23328.0403512049</v>
      </c>
    </row>
    <row r="38" customFormat="false" ht="15" hidden="false" customHeight="false" outlineLevel="0" collapsed="false">
      <c r="A38" s="28" t="s">
        <v>704</v>
      </c>
      <c r="B38" s="58" t="s">
        <v>51</v>
      </c>
      <c r="C38" s="59" t="n">
        <f aca="false">SUM(E38:P38)</f>
        <v>0</v>
      </c>
      <c r="D38" s="59" t="n">
        <f aca="false">SUM(Q38:AB38)</f>
        <v>0</v>
      </c>
      <c r="E38" s="71" t="n">
        <f aca="false">0</f>
        <v>0</v>
      </c>
      <c r="F38" s="71" t="n">
        <f aca="false">0</f>
        <v>0</v>
      </c>
      <c r="G38" s="71" t="n">
        <f aca="false">0</f>
        <v>0</v>
      </c>
      <c r="H38" s="71" t="n">
        <f aca="false">0</f>
        <v>0</v>
      </c>
      <c r="I38" s="71" t="n">
        <f aca="false">0</f>
        <v>0</v>
      </c>
      <c r="J38" s="71" t="n">
        <f aca="false">0</f>
        <v>0</v>
      </c>
      <c r="K38" s="71" t="n">
        <f aca="false">0</f>
        <v>0</v>
      </c>
      <c r="L38" s="71" t="n">
        <f aca="false">0</f>
        <v>0</v>
      </c>
      <c r="M38" s="71" t="n">
        <f aca="false">0</f>
        <v>0</v>
      </c>
      <c r="N38" s="71" t="n">
        <f aca="false">0</f>
        <v>0</v>
      </c>
      <c r="O38" s="71" t="n">
        <f aca="false">0</f>
        <v>0</v>
      </c>
      <c r="P38" s="71" t="n">
        <f aca="false">0</f>
        <v>0</v>
      </c>
      <c r="Q38" s="71" t="n">
        <f aca="false">0</f>
        <v>0</v>
      </c>
      <c r="R38" s="71" t="n">
        <f aca="false">0</f>
        <v>0</v>
      </c>
      <c r="S38" s="71" t="n">
        <f aca="false">0</f>
        <v>0</v>
      </c>
      <c r="T38" s="71" t="n">
        <f aca="false">0</f>
        <v>0</v>
      </c>
      <c r="U38" s="71" t="n">
        <f aca="false">0</f>
        <v>0</v>
      </c>
      <c r="V38" s="71" t="n">
        <f aca="false">0</f>
        <v>0</v>
      </c>
      <c r="W38" s="71" t="n">
        <f aca="false">0</f>
        <v>0</v>
      </c>
      <c r="X38" s="71" t="n">
        <f aca="false">0</f>
        <v>0</v>
      </c>
      <c r="Y38" s="71" t="n">
        <f aca="false">0</f>
        <v>0</v>
      </c>
      <c r="Z38" s="71" t="n">
        <f aca="false">0</f>
        <v>0</v>
      </c>
      <c r="AA38" s="71" t="n">
        <f aca="false">0</f>
        <v>0</v>
      </c>
      <c r="AB38" s="71" t="n">
        <f aca="false">0</f>
        <v>0</v>
      </c>
    </row>
    <row r="39" customFormat="false" ht="15" hidden="false" customHeight="false" outlineLevel="0" collapsed="false">
      <c r="A39" s="68" t="s">
        <v>705</v>
      </c>
      <c r="B39" s="69" t="s">
        <v>706</v>
      </c>
      <c r="C39" s="70" t="n">
        <f aca="false">SUM(E39:P39)</f>
        <v>288009.204994093</v>
      </c>
      <c r="D39" s="70" t="n">
        <f aca="false">SUM(Q39:AB39)</f>
        <v>271130.0906034</v>
      </c>
      <c r="E39" s="70" t="n">
        <f aca="false">E37-E38</f>
        <v>23205.3830227743</v>
      </c>
      <c r="F39" s="70" t="n">
        <f aca="false">F37-F38</f>
        <v>22696.0803443329</v>
      </c>
      <c r="G39" s="70" t="n">
        <f aca="false">G37-G38</f>
        <v>23310.8298655295</v>
      </c>
      <c r="H39" s="70" t="n">
        <f aca="false">H37-H38</f>
        <v>24452.2478063854</v>
      </c>
      <c r="I39" s="70" t="n">
        <f aca="false">I37-I38</f>
        <v>23795.2327110783</v>
      </c>
      <c r="J39" s="70" t="n">
        <f aca="false">J37-J38</f>
        <v>23047.8542510121</v>
      </c>
      <c r="K39" s="70" t="n">
        <f aca="false">K37-K38</f>
        <v>23055.4759825328</v>
      </c>
      <c r="L39" s="70" t="n">
        <f aca="false">L37-L38</f>
        <v>24531.3335903097</v>
      </c>
      <c r="M39" s="70" t="n">
        <f aca="false">M37-M38</f>
        <v>23935.1765365216</v>
      </c>
      <c r="N39" s="70" t="n">
        <f aca="false">N37-N38</f>
        <v>24577.3398094526</v>
      </c>
      <c r="O39" s="70" t="n">
        <f aca="false">O37-O38</f>
        <v>26182.7479917803</v>
      </c>
      <c r="P39" s="70" t="n">
        <f aca="false">P37-P38</f>
        <v>25219.5030823837</v>
      </c>
      <c r="Q39" s="70" t="n">
        <f aca="false">Q37-Q38</f>
        <v>22971.931627125</v>
      </c>
      <c r="R39" s="70" t="n">
        <f aca="false">R37-R38</f>
        <v>22971.931627125</v>
      </c>
      <c r="S39" s="70" t="n">
        <f aca="false">S37-S38</f>
        <v>23614.094900056</v>
      </c>
      <c r="T39" s="70" t="n">
        <f aca="false">T37-T38</f>
        <v>22172.146459929</v>
      </c>
      <c r="U39" s="70" t="n">
        <f aca="false">U37-U38</f>
        <v>22172.146459929</v>
      </c>
      <c r="V39" s="70" t="n">
        <f aca="false">V37-V38</f>
        <v>21883.17298711</v>
      </c>
      <c r="W39" s="70" t="n">
        <f aca="false">W37-W38</f>
        <v>21305.2260414721</v>
      </c>
      <c r="X39" s="70" t="n">
        <f aca="false">X37-X38</f>
        <v>21594.1995142911</v>
      </c>
      <c r="Y39" s="70" t="n">
        <f aca="false">Y37-Y38</f>
        <v>22172.146459929</v>
      </c>
      <c r="Z39" s="70" t="n">
        <f aca="false">Z37-Z38</f>
        <v>22750.093405567</v>
      </c>
      <c r="AA39" s="70" t="n">
        <f aca="false">AA37-AA38</f>
        <v>24194.9607696619</v>
      </c>
      <c r="AB39" s="70" t="n">
        <f aca="false">AB37-AB38</f>
        <v>23328.0403512049</v>
      </c>
    </row>
    <row r="40" customFormat="false" ht="15" hidden="false" customHeight="false" outlineLevel="0" collapsed="false">
      <c r="A40" s="28" t="s">
        <v>707</v>
      </c>
      <c r="B40" s="58" t="s">
        <v>708</v>
      </c>
      <c r="C40" s="66" t="n">
        <f aca="false">SUM(E40:P40)</f>
        <v>3072.375</v>
      </c>
      <c r="D40" s="66" t="n">
        <f aca="false">SUM(Q40:AB40)</f>
        <v>2856.403125</v>
      </c>
      <c r="E40" s="67" t="n">
        <f aca="false">Retainers!E23+TM_Media!E40</f>
        <v>257.3</v>
      </c>
      <c r="F40" s="67" t="n">
        <f aca="false">Retainers!F23+TM_Media!F40</f>
        <v>259.6</v>
      </c>
      <c r="G40" s="67" t="n">
        <f aca="false">Retainers!G23+TM_Media!G40</f>
        <v>251.4</v>
      </c>
      <c r="H40" s="67" t="n">
        <f aca="false">Retainers!H23+TM_Media!H40</f>
        <v>257</v>
      </c>
      <c r="I40" s="67" t="n">
        <f aca="false">Retainers!I23+TM_Media!I40</f>
        <v>251.6</v>
      </c>
      <c r="J40" s="67" t="n">
        <f aca="false">Retainers!J23+TM_Media!J40</f>
        <v>260.9</v>
      </c>
      <c r="K40" s="67" t="n">
        <f aca="false">Retainers!K23+TM_Media!K40</f>
        <v>259.6</v>
      </c>
      <c r="L40" s="67" t="n">
        <f aca="false">Retainers!L23+TM_Media!L40</f>
        <v>265.1</v>
      </c>
      <c r="M40" s="67" t="n">
        <f aca="false">Retainers!M23+TM_Media!M40</f>
        <v>252.46875</v>
      </c>
      <c r="N40" s="67" t="n">
        <f aca="false">Retainers!N23+TM_Media!N40</f>
        <v>252.46875</v>
      </c>
      <c r="O40" s="67" t="n">
        <f aca="false">Retainers!O23+TM_Media!O40</f>
        <v>252.46875</v>
      </c>
      <c r="P40" s="67" t="n">
        <f aca="false">Retainers!P23+TM_Media!P40</f>
        <v>252.46875</v>
      </c>
      <c r="Q40" s="67" t="n">
        <f aca="false">Retainers!Q23+TM_Media!Q40</f>
        <v>252.46875</v>
      </c>
      <c r="R40" s="67" t="n">
        <f aca="false">Retainers!R23+TM_Media!R40</f>
        <v>252.46875</v>
      </c>
      <c r="S40" s="67" t="n">
        <f aca="false">Retainers!S23+TM_Media!S40</f>
        <v>252.46875</v>
      </c>
      <c r="T40" s="67" t="n">
        <f aca="false">Retainers!T23+TM_Media!T40</f>
        <v>233.221875</v>
      </c>
      <c r="U40" s="67" t="n">
        <f aca="false">Retainers!U23+TM_Media!U40</f>
        <v>233.221875</v>
      </c>
      <c r="V40" s="67" t="n">
        <f aca="false">Retainers!V23+TM_Media!V40</f>
        <v>233.221875</v>
      </c>
      <c r="W40" s="67" t="n">
        <f aca="false">Retainers!W23+TM_Media!W40</f>
        <v>233.221875</v>
      </c>
      <c r="X40" s="67" t="n">
        <f aca="false">Retainers!X23+TM_Media!X40</f>
        <v>233.221875</v>
      </c>
      <c r="Y40" s="67" t="n">
        <f aca="false">Retainers!Y23+TM_Media!Y40</f>
        <v>233.221875</v>
      </c>
      <c r="Z40" s="67" t="n">
        <f aca="false">Retainers!Z23+TM_Media!Z40</f>
        <v>233.221875</v>
      </c>
      <c r="AA40" s="67" t="n">
        <f aca="false">Retainers!AA23+TM_Media!AA40</f>
        <v>233.221875</v>
      </c>
      <c r="AB40" s="67" t="n">
        <f aca="false">Retainers!AB23+TM_Media!AB40</f>
        <v>233.221875</v>
      </c>
    </row>
    <row r="41" customFormat="false" ht="15" hidden="false" customHeight="false" outlineLevel="0" collapsed="false">
      <c r="A41" s="28" t="s">
        <v>709</v>
      </c>
      <c r="B41" s="58" t="s">
        <v>710</v>
      </c>
      <c r="C41" s="59" t="n">
        <f aca="false">SUM(E41:P41)</f>
        <v>143541.014147296</v>
      </c>
      <c r="D41" s="59" t="n">
        <f aca="false">SUM(Q41:AB41)</f>
        <v>139500.420253491</v>
      </c>
      <c r="E41" s="60" t="n">
        <f aca="false">Retainers!E23*Utilisation!E88+TM_Media!E40*Utilisation!E93</f>
        <v>12020.7779958573</v>
      </c>
      <c r="F41" s="60" t="n">
        <f aca="false">Retainers!F23*Utilisation!F88+TM_Media!F40*Utilisation!F93</f>
        <v>12127.7822747986</v>
      </c>
      <c r="G41" s="60" t="n">
        <f aca="false">Retainers!G23*Utilisation!G88+TM_Media!G40*Utilisation!G93</f>
        <v>11746.2887585731</v>
      </c>
      <c r="H41" s="60" t="n">
        <f aca="false">Retainers!H23*Utilisation!H88+TM_Media!H40*Utilisation!H93</f>
        <v>12006.8209159954</v>
      </c>
      <c r="I41" s="60" t="n">
        <f aca="false">Retainers!I23*Utilisation!I88+TM_Media!I40*Utilisation!I93</f>
        <v>11755.593478481</v>
      </c>
      <c r="J41" s="60" t="n">
        <f aca="false">Retainers!J23*Utilisation!J88+TM_Media!J40*Utilisation!J93</f>
        <v>12188.2629542002</v>
      </c>
      <c r="K41" s="60" t="n">
        <f aca="false">Retainers!K23*Utilisation!K88+TM_Media!K40*Utilisation!K93</f>
        <v>12127.7822747986</v>
      </c>
      <c r="L41" s="60" t="n">
        <f aca="false">Retainers!L23*Utilisation!L88+TM_Media!L40*Utilisation!L93</f>
        <v>12383.662072267</v>
      </c>
      <c r="M41" s="60" t="n">
        <f aca="false">Retainers!M23*Utilisation!M88+TM_Media!M40*Utilisation!M93</f>
        <v>11796.0108555811</v>
      </c>
      <c r="N41" s="60" t="n">
        <f aca="false">Retainers!N23*Utilisation!N88+TM_Media!N40*Utilisation!N93</f>
        <v>11796.0108555811</v>
      </c>
      <c r="O41" s="60" t="n">
        <f aca="false">Retainers!O23*Utilisation!O88+TM_Media!O40*Utilisation!O93</f>
        <v>11796.0108555811</v>
      </c>
      <c r="P41" s="60" t="n">
        <f aca="false">Retainers!P23*Utilisation!P88+TM_Media!P40*Utilisation!P93</f>
        <v>11796.0108555811</v>
      </c>
      <c r="Q41" s="60" t="n">
        <f aca="false">Retainers!Q23*Utilisation!Q88+TM_Media!Q40*Utilisation!Q93</f>
        <v>12326.8313440823</v>
      </c>
      <c r="R41" s="60" t="n">
        <f aca="false">Retainers!R23*Utilisation!R88+TM_Media!R40*Utilisation!R93</f>
        <v>12326.8313440823</v>
      </c>
      <c r="S41" s="60" t="n">
        <f aca="false">Retainers!S23*Utilisation!S88+TM_Media!S40*Utilisation!S93</f>
        <v>12326.8313440823</v>
      </c>
      <c r="T41" s="60" t="n">
        <f aca="false">Retainers!T23*Utilisation!T88+TM_Media!T40*Utilisation!T93</f>
        <v>11391.1029134715</v>
      </c>
      <c r="U41" s="60" t="n">
        <f aca="false">Retainers!U23*Utilisation!U88+TM_Media!U40*Utilisation!U93</f>
        <v>11391.1029134715</v>
      </c>
      <c r="V41" s="60" t="n">
        <f aca="false">Retainers!V23*Utilisation!V88+TM_Media!V40*Utilisation!V93</f>
        <v>11391.1029134715</v>
      </c>
      <c r="W41" s="60" t="n">
        <f aca="false">Retainers!W23*Utilisation!W88+TM_Media!W40*Utilisation!W93</f>
        <v>11391.1029134715</v>
      </c>
      <c r="X41" s="60" t="n">
        <f aca="false">Retainers!X23*Utilisation!X88+TM_Media!X40*Utilisation!X93</f>
        <v>11391.1029134715</v>
      </c>
      <c r="Y41" s="60" t="n">
        <f aca="false">Retainers!Y23*Utilisation!Y88+TM_Media!Y40*Utilisation!Y93</f>
        <v>11391.1029134715</v>
      </c>
      <c r="Z41" s="60" t="n">
        <f aca="false">Retainers!Z23*Utilisation!Z88+TM_Media!Z40*Utilisation!Z93</f>
        <v>11391.1029134715</v>
      </c>
      <c r="AA41" s="60" t="n">
        <f aca="false">Retainers!AA23*Utilisation!AA88+TM_Media!AA40*Utilisation!AA93</f>
        <v>11391.1029134715</v>
      </c>
      <c r="AB41" s="60" t="n">
        <f aca="false">Retainers!AB23*Utilisation!AB88+TM_Media!AB40*Utilisation!AB93</f>
        <v>11391.1029134715</v>
      </c>
    </row>
    <row r="42" customFormat="false" ht="15" hidden="false" customHeight="false" outlineLevel="0" collapsed="false">
      <c r="A42" s="28" t="s">
        <v>711</v>
      </c>
      <c r="B42" s="58" t="s">
        <v>53</v>
      </c>
      <c r="C42" s="59" t="n">
        <f aca="false">SUM(E42:P42)</f>
        <v>684147.39</v>
      </c>
      <c r="D42" s="59" t="n">
        <f aca="false">SUM(Q42:AB42)</f>
        <v>608575</v>
      </c>
      <c r="E42" s="60" t="n">
        <f aca="false">TM_Media!E38</f>
        <v>51747.62</v>
      </c>
      <c r="F42" s="60" t="n">
        <f aca="false">TM_Media!F38</f>
        <v>47739.56</v>
      </c>
      <c r="G42" s="60" t="n">
        <f aca="false">TM_Media!G38</f>
        <v>53342.71</v>
      </c>
      <c r="H42" s="60" t="n">
        <f aca="false">TM_Media!H38</f>
        <v>62071.92</v>
      </c>
      <c r="I42" s="60" t="n">
        <f aca="false">TM_Media!I38</f>
        <v>56242.76</v>
      </c>
      <c r="J42" s="60" t="n">
        <f aca="false">TM_Media!J38</f>
        <v>49248.69</v>
      </c>
      <c r="K42" s="60" t="n">
        <f aca="false">TM_Media!K38</f>
        <v>47988.9</v>
      </c>
      <c r="L42" s="60" t="n">
        <f aca="false">TM_Media!L38</f>
        <v>60015.23</v>
      </c>
      <c r="M42" s="60" t="n">
        <f aca="false">TM_Media!M38</f>
        <v>55000</v>
      </c>
      <c r="N42" s="60" t="n">
        <f aca="false">TM_Media!N38</f>
        <v>60500</v>
      </c>
      <c r="O42" s="60" t="n">
        <f aca="false">TM_Media!O38</f>
        <v>74250</v>
      </c>
      <c r="P42" s="60" t="n">
        <f aca="false">TM_Media!P38</f>
        <v>66000</v>
      </c>
      <c r="Q42" s="60" t="n">
        <f aca="false">TM_Media!Q38</f>
        <v>46750</v>
      </c>
      <c r="R42" s="60" t="n">
        <f aca="false">TM_Media!R38</f>
        <v>46750</v>
      </c>
      <c r="S42" s="60" t="n">
        <f aca="false">TM_Media!S38</f>
        <v>52250</v>
      </c>
      <c r="T42" s="60" t="n">
        <f aca="false">TM_Media!T38</f>
        <v>49500</v>
      </c>
      <c r="U42" s="60" t="n">
        <f aca="false">TM_Media!U38</f>
        <v>49500</v>
      </c>
      <c r="V42" s="60" t="n">
        <f aca="false">TM_Media!V38</f>
        <v>47025</v>
      </c>
      <c r="W42" s="60" t="n">
        <f aca="false">TM_Media!W38</f>
        <v>42075</v>
      </c>
      <c r="X42" s="60" t="n">
        <f aca="false">TM_Media!X38</f>
        <v>44550</v>
      </c>
      <c r="Y42" s="60" t="n">
        <f aca="false">TM_Media!Y38</f>
        <v>49500</v>
      </c>
      <c r="Z42" s="60" t="n">
        <f aca="false">TM_Media!Z38</f>
        <v>54450</v>
      </c>
      <c r="AA42" s="60" t="n">
        <f aca="false">TM_Media!AA38</f>
        <v>66825</v>
      </c>
      <c r="AB42" s="60" t="n">
        <f aca="false">TM_Media!AB38</f>
        <v>59400</v>
      </c>
    </row>
    <row r="43" customFormat="false" ht="15" hidden="false" customHeight="false" outlineLevel="0" collapsed="false">
      <c r="A43" s="28" t="s">
        <v>712</v>
      </c>
      <c r="B43" s="58" t="s">
        <v>713</v>
      </c>
      <c r="C43" s="59" t="n">
        <f aca="false">SUM(E43:P43)</f>
        <v>932562.13</v>
      </c>
      <c r="D43" s="59" t="n">
        <f aca="false">SUM(Q43:AB43)</f>
        <v>840792.5</v>
      </c>
      <c r="E43" s="60" t="n">
        <f aca="false">Retainers!E26+E34+E42+E35</f>
        <v>101922.38</v>
      </c>
      <c r="F43" s="60" t="n">
        <f aca="false">Retainers!F26+F34+F42+F35</f>
        <v>52513.52</v>
      </c>
      <c r="G43" s="60" t="n">
        <f aca="false">Retainers!G26+G34+G42+G35</f>
        <v>58676.98</v>
      </c>
      <c r="H43" s="60" t="n">
        <f aca="false">Retainers!H26+H34+H42+H35</f>
        <v>113279.11</v>
      </c>
      <c r="I43" s="60" t="n">
        <f aca="false">Retainers!I26+I34+I42+I35</f>
        <v>61867.04</v>
      </c>
      <c r="J43" s="60" t="n">
        <f aca="false">Retainers!J26+J34+J42+J35</f>
        <v>54173.56</v>
      </c>
      <c r="K43" s="60" t="n">
        <f aca="false">Retainers!K26+K34+K42+K35</f>
        <v>97787.79</v>
      </c>
      <c r="L43" s="60" t="n">
        <f aca="false">Retainers!L26+L34+L42+L35</f>
        <v>66016.75</v>
      </c>
      <c r="M43" s="60" t="n">
        <f aca="false">Retainers!M26+M34+M42+M35</f>
        <v>60500</v>
      </c>
      <c r="N43" s="60" t="n">
        <f aca="false">Retainers!N26+N34+N42+N35</f>
        <v>111550</v>
      </c>
      <c r="O43" s="60" t="n">
        <f aca="false">Retainers!O26+O34+O42+O35</f>
        <v>81675</v>
      </c>
      <c r="P43" s="60" t="n">
        <f aca="false">Retainers!P26+P34+P42+P35</f>
        <v>72600</v>
      </c>
      <c r="Q43" s="60" t="n">
        <f aca="false">Retainers!Q26+Q34+Q42+Q35</f>
        <v>96425</v>
      </c>
      <c r="R43" s="60" t="n">
        <f aca="false">Retainers!R26+R34+R42+R35</f>
        <v>51425</v>
      </c>
      <c r="S43" s="60" t="n">
        <f aca="false">Retainers!S26+S34+S42+S35</f>
        <v>57475</v>
      </c>
      <c r="T43" s="60" t="n">
        <f aca="false">Retainers!T26+T34+T42+T35</f>
        <v>96570</v>
      </c>
      <c r="U43" s="60" t="n">
        <f aca="false">Retainers!U26+U34+U42+U35</f>
        <v>54450</v>
      </c>
      <c r="V43" s="60" t="n">
        <f aca="false">Retainers!V26+V34+V42+V35</f>
        <v>51727.5</v>
      </c>
      <c r="W43" s="60" t="n">
        <f aca="false">Retainers!W26+W34+W42+W35</f>
        <v>88402.5</v>
      </c>
      <c r="X43" s="60" t="n">
        <f aca="false">Retainers!X26+X34+X42+X35</f>
        <v>49005</v>
      </c>
      <c r="Y43" s="60" t="n">
        <f aca="false">Retainers!Y26+Y34+Y42+Y35</f>
        <v>54450</v>
      </c>
      <c r="Z43" s="60" t="n">
        <f aca="false">Retainers!Z26+Z34+Z42+Z35</f>
        <v>102015</v>
      </c>
      <c r="AA43" s="60" t="n">
        <f aca="false">Retainers!AA26+AA34+AA42+AA35</f>
        <v>73507.5</v>
      </c>
      <c r="AB43" s="60" t="n">
        <f aca="false">Retainers!AB26+AB34+AB42+AB35</f>
        <v>65340</v>
      </c>
    </row>
    <row r="44" customFormat="false" ht="15" hidden="false" customHeight="false" outlineLevel="0" collapsed="false">
      <c r="A44" s="28" t="s">
        <v>714</v>
      </c>
      <c r="B44" s="58" t="s">
        <v>715</v>
      </c>
      <c r="C44" s="59" t="n">
        <f aca="false">SUM(E44:P44)</f>
        <v>0</v>
      </c>
      <c r="D44" s="59" t="n">
        <f aca="false">SUM(Q44:AB44)</f>
        <v>0</v>
      </c>
      <c r="E44" s="60" t="n">
        <f aca="false">E43*Client_Register!$F$8</f>
        <v>0</v>
      </c>
      <c r="F44" s="60" t="n">
        <f aca="false">F43*Client_Register!$F$8</f>
        <v>0</v>
      </c>
      <c r="G44" s="60" t="n">
        <f aca="false">G43*Client_Register!$F$8</f>
        <v>0</v>
      </c>
      <c r="H44" s="60" t="n">
        <f aca="false">H43*Client_Register!$F$8</f>
        <v>0</v>
      </c>
      <c r="I44" s="60" t="n">
        <f aca="false">I43*Client_Register!$F$8</f>
        <v>0</v>
      </c>
      <c r="J44" s="60" t="n">
        <f aca="false">J43*Client_Register!$F$8</f>
        <v>0</v>
      </c>
      <c r="K44" s="60" t="n">
        <f aca="false">K43*Client_Register!$F$8</f>
        <v>0</v>
      </c>
      <c r="L44" s="60" t="n">
        <f aca="false">L43*Client_Register!$F$8</f>
        <v>0</v>
      </c>
      <c r="M44" s="60" t="n">
        <f aca="false">M43*Client_Register!$F$8</f>
        <v>0</v>
      </c>
      <c r="N44" s="60" t="n">
        <f aca="false">N43*Client_Register!$F$8</f>
        <v>0</v>
      </c>
      <c r="O44" s="60" t="n">
        <f aca="false">O43*Client_Register!$F$8</f>
        <v>0</v>
      </c>
      <c r="P44" s="60" t="n">
        <f aca="false">P43*Client_Register!$F$8</f>
        <v>0</v>
      </c>
      <c r="Q44" s="60" t="n">
        <f aca="false">Q43*Client_Register!$F$8</f>
        <v>0</v>
      </c>
      <c r="R44" s="60" t="n">
        <f aca="false">R43*Client_Register!$F$8</f>
        <v>0</v>
      </c>
      <c r="S44" s="60" t="n">
        <f aca="false">S43*Client_Register!$F$8</f>
        <v>0</v>
      </c>
      <c r="T44" s="60" t="n">
        <f aca="false">T43*Client_Register!$F$8</f>
        <v>0</v>
      </c>
      <c r="U44" s="60" t="n">
        <f aca="false">U43*Client_Register!$F$8</f>
        <v>0</v>
      </c>
      <c r="V44" s="60" t="n">
        <f aca="false">V43*Client_Register!$F$8</f>
        <v>0</v>
      </c>
      <c r="W44" s="60" t="n">
        <f aca="false">W43*Client_Register!$F$8</f>
        <v>0</v>
      </c>
      <c r="X44" s="60" t="n">
        <f aca="false">X43*Client_Register!$F$8</f>
        <v>0</v>
      </c>
      <c r="Y44" s="60" t="n">
        <f aca="false">Y43*Client_Register!$F$8</f>
        <v>0</v>
      </c>
      <c r="Z44" s="60" t="n">
        <f aca="false">Z43*Client_Register!$F$8</f>
        <v>0</v>
      </c>
      <c r="AA44" s="60" t="n">
        <f aca="false">AA43*Client_Register!$F$8</f>
        <v>0</v>
      </c>
      <c r="AB44" s="60" t="n">
        <f aca="false">AB43*Client_Register!$F$8</f>
        <v>0</v>
      </c>
    </row>
    <row r="45" customFormat="false" ht="15" hidden="false" customHeight="false" outlineLevel="0" collapsed="false">
      <c r="A45" s="68" t="s">
        <v>716</v>
      </c>
      <c r="B45" s="69"/>
      <c r="C45" s="70" t="n">
        <f aca="false">SUM(E45:P45)</f>
        <v>932562.13</v>
      </c>
      <c r="D45" s="70" t="n">
        <f aca="false">SUM(Q45:AB45)</f>
        <v>840792.5</v>
      </c>
      <c r="E45" s="70" t="n">
        <f aca="false">E43+E44</f>
        <v>101922.38</v>
      </c>
      <c r="F45" s="70" t="n">
        <f aca="false">F43+F44</f>
        <v>52513.52</v>
      </c>
      <c r="G45" s="70" t="n">
        <f aca="false">G43+G44</f>
        <v>58676.98</v>
      </c>
      <c r="H45" s="70" t="n">
        <f aca="false">H43+H44</f>
        <v>113279.11</v>
      </c>
      <c r="I45" s="70" t="n">
        <f aca="false">I43+I44</f>
        <v>61867.04</v>
      </c>
      <c r="J45" s="70" t="n">
        <f aca="false">J43+J44</f>
        <v>54173.56</v>
      </c>
      <c r="K45" s="70" t="n">
        <f aca="false">K43+K44</f>
        <v>97787.79</v>
      </c>
      <c r="L45" s="70" t="n">
        <f aca="false">L43+L44</f>
        <v>66016.75</v>
      </c>
      <c r="M45" s="70" t="n">
        <f aca="false">M43+M44</f>
        <v>60500</v>
      </c>
      <c r="N45" s="70" t="n">
        <f aca="false">N43+N44</f>
        <v>111550</v>
      </c>
      <c r="O45" s="70" t="n">
        <f aca="false">O43+O44</f>
        <v>81675</v>
      </c>
      <c r="P45" s="70" t="n">
        <f aca="false">P43+P44</f>
        <v>72600</v>
      </c>
      <c r="Q45" s="70" t="n">
        <f aca="false">Q43+Q44</f>
        <v>96425</v>
      </c>
      <c r="R45" s="70" t="n">
        <f aca="false">R43+R44</f>
        <v>51425</v>
      </c>
      <c r="S45" s="70" t="n">
        <f aca="false">S43+S44</f>
        <v>57475</v>
      </c>
      <c r="T45" s="70" t="n">
        <f aca="false">T43+T44</f>
        <v>96570</v>
      </c>
      <c r="U45" s="70" t="n">
        <f aca="false">U43+U44</f>
        <v>54450</v>
      </c>
      <c r="V45" s="70" t="n">
        <f aca="false">V43+V44</f>
        <v>51727.5</v>
      </c>
      <c r="W45" s="70" t="n">
        <f aca="false">W43+W44</f>
        <v>88402.5</v>
      </c>
      <c r="X45" s="70" t="n">
        <f aca="false">X43+X44</f>
        <v>49005</v>
      </c>
      <c r="Y45" s="70" t="n">
        <f aca="false">Y43+Y44</f>
        <v>54450</v>
      </c>
      <c r="Z45" s="70" t="n">
        <f aca="false">Z43+Z44</f>
        <v>102015</v>
      </c>
      <c r="AA45" s="70" t="n">
        <f aca="false">AA43+AA44</f>
        <v>73507.5</v>
      </c>
      <c r="AB45" s="70" t="n">
        <f aca="false">AB43+AB44</f>
        <v>65340</v>
      </c>
    </row>
    <row r="46" customFormat="false" ht="15" hidden="false" customHeight="false" outlineLevel="0" collapsed="false">
      <c r="A46" s="28" t="s">
        <v>717</v>
      </c>
      <c r="B46" s="58" t="s">
        <v>718</v>
      </c>
      <c r="C46" s="59" t="n">
        <f aca="false">SUM(E46:P46)</f>
        <v>928415.91</v>
      </c>
      <c r="D46" s="59" t="n">
        <f aca="false">SUM(Q46:AB46)</f>
        <v>848052.5</v>
      </c>
      <c r="E46" s="60" t="n">
        <f aca="false">IF(E$5="A",Inputs_Actuals!E114,Client_Register!$T$8+E45-(E45*MIN(1,Client_Register!$J$8/30)+0*MIN(1,MAX(0,(Client_Register!$J$8-30)/30))+0*MIN(1,MAX(0,(Client_Register!$J$8-60)/30))))</f>
        <v>68870.03</v>
      </c>
      <c r="F46" s="60" t="n">
        <f aca="false">IF(F$5="A",Inputs_Actuals!F114,E47+F45-(F45*MIN(1,Client_Register!$J$8/30)+E45*MIN(1,MAX(0,(Client_Register!$J$8-30)/30))+0*MIN(1,MAX(0,(Client_Register!$J$8-60)/30))))</f>
        <v>100682.27</v>
      </c>
      <c r="G46" s="60" t="n">
        <f aca="false">IF(G$5="A",Inputs_Actuals!G114,F47+G45-(G45*MIN(1,Client_Register!$J$8/30)+F45*MIN(1,MAX(0,(Client_Register!$J$8-30)/30))+E45*MIN(1,MAX(0,(Client_Register!$J$8-60)/30))))</f>
        <v>53418.87</v>
      </c>
      <c r="H46" s="60" t="n">
        <f aca="false">IF(H$5="A",Inputs_Actuals!H114,G47+H45-(H45*MIN(1,Client_Register!$J$8/30)+G45*MIN(1,MAX(0,(Client_Register!$J$8-30)/30))+F45*MIN(1,MAX(0,(Client_Register!$J$8-60)/30))))</f>
        <v>52918.66</v>
      </c>
      <c r="I46" s="60" t="n">
        <f aca="false">IF(I$5="A",Inputs_Actuals!I114,H47+I45-(I45*MIN(1,Client_Register!$J$8/30)+H45*MIN(1,MAX(0,(Client_Register!$J$8-30)/30))+G45*MIN(1,MAX(0,(Client_Register!$J$8-60)/30))))</f>
        <v>120402.2</v>
      </c>
      <c r="J46" s="60" t="n">
        <f aca="false">IF(J$5="A",Inputs_Actuals!J114,I47+J45-(J45*MIN(1,Client_Register!$J$8/30)+I45*MIN(1,MAX(0,(Client_Register!$J$8-30)/30))+H45*MIN(1,MAX(0,(Client_Register!$J$8-60)/30))))</f>
        <v>65730.95</v>
      </c>
      <c r="K46" s="60" t="n">
        <f aca="false">IF(K$5="A",Inputs_Actuals!K114,J47+K45-(K45*MIN(1,Client_Register!$J$8/30)+J45*MIN(1,MAX(0,(Client_Register!$J$8-30)/30))+I45*MIN(1,MAX(0,(Client_Register!$J$8-60)/30))))</f>
        <v>54774.75</v>
      </c>
      <c r="L46" s="60" t="n">
        <f aca="false">IF(L$5="A",Inputs_Actuals!L114,K47+L45-(L45*MIN(1,Client_Register!$J$8/30)+K45*MIN(1,MAX(0,(Client_Register!$J$8-30)/30))+J45*MIN(1,MAX(0,(Client_Register!$J$8-60)/30))))</f>
        <v>98750.33</v>
      </c>
      <c r="M46" s="60" t="n">
        <f aca="false">IF(M$5="A",Inputs_Actuals!M114,L47+M45-(M45*MIN(1,Client_Register!$J$8/30)+L45*MIN(1,MAX(0,(Client_Register!$J$8-30)/30))+K45*MIN(1,MAX(0,(Client_Register!$J$8-60)/30))))</f>
        <v>59142.85</v>
      </c>
      <c r="N46" s="60" t="n">
        <f aca="false">IF(N$5="A",Inputs_Actuals!N114,M47+N45-(N45*MIN(1,Client_Register!$J$8/30)+M45*MIN(1,MAX(0,(Client_Register!$J$8-30)/30))+L45*MIN(1,MAX(0,(Client_Register!$J$8-60)/30))))</f>
        <v>60500</v>
      </c>
      <c r="O46" s="60" t="n">
        <f aca="false">IF(O$5="A",Inputs_Actuals!O114,N47+O45-(O45*MIN(1,Client_Register!$J$8/30)+N45*MIN(1,MAX(0,(Client_Register!$J$8-30)/30))+M45*MIN(1,MAX(0,(Client_Register!$J$8-60)/30))))</f>
        <v>111550</v>
      </c>
      <c r="P46" s="60" t="n">
        <f aca="false">IF(P$5="A",Inputs_Actuals!P114,O47+P45-(P45*MIN(1,Client_Register!$J$8/30)+O45*MIN(1,MAX(0,(Client_Register!$J$8-30)/30))+N45*MIN(1,MAX(0,(Client_Register!$J$8-60)/30))))</f>
        <v>81675</v>
      </c>
      <c r="Q46" s="60" t="n">
        <f aca="false">IF(Q$5="A",Inputs_Actuals!Q114,P47+Q45-(Q45*MIN(1,Client_Register!$J$8/30)+P45*MIN(1,MAX(0,(Client_Register!$J$8-30)/30))+O45*MIN(1,MAX(0,(Client_Register!$J$8-60)/30))))</f>
        <v>72600</v>
      </c>
      <c r="R46" s="60" t="n">
        <f aca="false">IF(R$5="A",Inputs_Actuals!R114,Q47+R45-(R45*MIN(1,Client_Register!$J$8/30)+Q45*MIN(1,MAX(0,(Client_Register!$J$8-30)/30))+P45*MIN(1,MAX(0,(Client_Register!$J$8-60)/30))))</f>
        <v>96425</v>
      </c>
      <c r="S46" s="60" t="n">
        <f aca="false">IF(S$5="A",Inputs_Actuals!S114,R47+S45-(S45*MIN(1,Client_Register!$J$8/30)+R45*MIN(1,MAX(0,(Client_Register!$J$8-30)/30))+Q45*MIN(1,MAX(0,(Client_Register!$J$8-60)/30))))</f>
        <v>51425</v>
      </c>
      <c r="T46" s="60" t="n">
        <f aca="false">IF(T$5="A",Inputs_Actuals!T114,S47+T45-(T45*MIN(1,Client_Register!$J$8/30)+S45*MIN(1,MAX(0,(Client_Register!$J$8-30)/30))+R45*MIN(1,MAX(0,(Client_Register!$J$8-60)/30))))</f>
        <v>57475</v>
      </c>
      <c r="U46" s="60" t="n">
        <f aca="false">IF(U$5="A",Inputs_Actuals!U114,T47+U45-(U45*MIN(1,Client_Register!$J$8/30)+T45*MIN(1,MAX(0,(Client_Register!$J$8-30)/30))+S45*MIN(1,MAX(0,(Client_Register!$J$8-60)/30))))</f>
        <v>96570</v>
      </c>
      <c r="V46" s="60" t="n">
        <f aca="false">IF(V$5="A",Inputs_Actuals!V114,U47+V45-(V45*MIN(1,Client_Register!$J$8/30)+U45*MIN(1,MAX(0,(Client_Register!$J$8-30)/30))+T45*MIN(1,MAX(0,(Client_Register!$J$8-60)/30))))</f>
        <v>54450</v>
      </c>
      <c r="W46" s="60" t="n">
        <f aca="false">IF(W$5="A",Inputs_Actuals!W114,V47+W45-(W45*MIN(1,Client_Register!$J$8/30)+V45*MIN(1,MAX(0,(Client_Register!$J$8-30)/30))+U45*MIN(1,MAX(0,(Client_Register!$J$8-60)/30))))</f>
        <v>51727.5</v>
      </c>
      <c r="X46" s="60" t="n">
        <f aca="false">IF(X$5="A",Inputs_Actuals!X114,W47+X45-(X45*MIN(1,Client_Register!$J$8/30)+W45*MIN(1,MAX(0,(Client_Register!$J$8-30)/30))+V45*MIN(1,MAX(0,(Client_Register!$J$8-60)/30))))</f>
        <v>88402.5</v>
      </c>
      <c r="Y46" s="60" t="n">
        <f aca="false">IF(Y$5="A",Inputs_Actuals!Y114,X47+Y45-(Y45*MIN(1,Client_Register!$J$8/30)+X45*MIN(1,MAX(0,(Client_Register!$J$8-30)/30))+W45*MIN(1,MAX(0,(Client_Register!$J$8-60)/30))))</f>
        <v>49005</v>
      </c>
      <c r="Z46" s="60" t="n">
        <f aca="false">IF(Z$5="A",Inputs_Actuals!Z114,Y47+Z45-(Z45*MIN(1,Client_Register!$J$8/30)+Y45*MIN(1,MAX(0,(Client_Register!$J$8-30)/30))+X45*MIN(1,MAX(0,(Client_Register!$J$8-60)/30))))</f>
        <v>54450</v>
      </c>
      <c r="AA46" s="60" t="n">
        <f aca="false">IF(AA$5="A",Inputs_Actuals!AA114,Z47+AA45-(AA45*MIN(1,Client_Register!$J$8/30)+Z45*MIN(1,MAX(0,(Client_Register!$J$8-30)/30))+Y45*MIN(1,MAX(0,(Client_Register!$J$8-60)/30))))</f>
        <v>102015</v>
      </c>
      <c r="AB46" s="60" t="n">
        <f aca="false">IF(AB$5="A",Inputs_Actuals!AB114,AA47+AB45-(AB45*MIN(1,Client_Register!$J$8/30)+AA45*MIN(1,MAX(0,(Client_Register!$J$8-30)/30))+Z45*MIN(1,MAX(0,(Client_Register!$J$8-60)/30))))</f>
        <v>73507.5</v>
      </c>
    </row>
    <row r="47" customFormat="false" ht="15" hidden="false" customHeight="false" outlineLevel="0" collapsed="false">
      <c r="A47" s="68" t="s">
        <v>719</v>
      </c>
      <c r="B47" s="69" t="s">
        <v>720</v>
      </c>
      <c r="C47" s="70" t="n">
        <f aca="false">P47</f>
        <v>72600</v>
      </c>
      <c r="D47" s="70" t="n">
        <f aca="false">AB47</f>
        <v>65340</v>
      </c>
      <c r="E47" s="74" t="n">
        <f aca="false">Client_Register!$T$8+E45-E46</f>
        <v>101506.13</v>
      </c>
      <c r="F47" s="70" t="n">
        <f aca="false">E47+F45-F46</f>
        <v>53337.38</v>
      </c>
      <c r="G47" s="70" t="n">
        <f aca="false">F47+G45-G46</f>
        <v>58595.49</v>
      </c>
      <c r="H47" s="70" t="n">
        <f aca="false">G47+H45-H46</f>
        <v>118955.94</v>
      </c>
      <c r="I47" s="70" t="n">
        <f aca="false">H47+I45-I46</f>
        <v>60420.78</v>
      </c>
      <c r="J47" s="70" t="n">
        <f aca="false">I47+J45-J46</f>
        <v>48863.39</v>
      </c>
      <c r="K47" s="70" t="n">
        <f aca="false">J47+K45-K46</f>
        <v>91876.43</v>
      </c>
      <c r="L47" s="70" t="n">
        <f aca="false">K47+L45-L46</f>
        <v>59142.85</v>
      </c>
      <c r="M47" s="70" t="n">
        <f aca="false">L47+M45-M46</f>
        <v>60500</v>
      </c>
      <c r="N47" s="70" t="n">
        <f aca="false">M47+N45-N46</f>
        <v>111550</v>
      </c>
      <c r="O47" s="70" t="n">
        <f aca="false">N47+O45-O46</f>
        <v>81675</v>
      </c>
      <c r="P47" s="70" t="n">
        <f aca="false">O47+P45-P46</f>
        <v>72600</v>
      </c>
      <c r="Q47" s="70" t="n">
        <f aca="false">P47+Q45-Q46</f>
        <v>96425</v>
      </c>
      <c r="R47" s="70" t="n">
        <f aca="false">Q47+R45-R46</f>
        <v>51425</v>
      </c>
      <c r="S47" s="70" t="n">
        <f aca="false">R47+S45-S46</f>
        <v>57475</v>
      </c>
      <c r="T47" s="70" t="n">
        <f aca="false">S47+T45-T46</f>
        <v>96570</v>
      </c>
      <c r="U47" s="70" t="n">
        <f aca="false">T47+U45-U46</f>
        <v>54450</v>
      </c>
      <c r="V47" s="70" t="n">
        <f aca="false">U47+V45-V46</f>
        <v>51727.5</v>
      </c>
      <c r="W47" s="70" t="n">
        <f aca="false">V47+W45-W46</f>
        <v>88402.5</v>
      </c>
      <c r="X47" s="70" t="n">
        <f aca="false">W47+X45-X46</f>
        <v>49005</v>
      </c>
      <c r="Y47" s="70" t="n">
        <f aca="false">X47+Y45-Y46</f>
        <v>54450</v>
      </c>
      <c r="Z47" s="70" t="n">
        <f aca="false">Y47+Z45-Z46</f>
        <v>102015</v>
      </c>
      <c r="AA47" s="70" t="n">
        <f aca="false">Z47+AA45-AA46</f>
        <v>73507.5</v>
      </c>
      <c r="AB47" s="70" t="n">
        <f aca="false">AA47+AB45-AB46</f>
        <v>65340</v>
      </c>
    </row>
    <row r="48" customFormat="false" ht="15" hidden="false" customHeight="false" outlineLevel="0" collapsed="false">
      <c r="A48" s="28" t="s">
        <v>721</v>
      </c>
      <c r="B48" s="58" t="s">
        <v>722</v>
      </c>
      <c r="C48" s="59" t="n">
        <f aca="false">P48</f>
        <v>0</v>
      </c>
      <c r="D48" s="59" t="n">
        <f aca="false">AB48</f>
        <v>0</v>
      </c>
      <c r="E48" s="60" t="n">
        <f aca="false">Client_Register!$U$8+E36-(E43-E42)</f>
        <v>-30000</v>
      </c>
      <c r="F48" s="71" t="n">
        <f aca="false">E48+F36-(F43-F42)</f>
        <v>-15000</v>
      </c>
      <c r="G48" s="71" t="n">
        <f aca="false">F48+G36-(G43-G42)</f>
        <v>0</v>
      </c>
      <c r="H48" s="71" t="n">
        <f aca="false">G48+H36-(H43-H42)</f>
        <v>-30000</v>
      </c>
      <c r="I48" s="71" t="n">
        <f aca="false">H48+I36-(I43-I42)</f>
        <v>-15000</v>
      </c>
      <c r="J48" s="71" t="n">
        <f aca="false">I48+J36-(J43-J42)</f>
        <v>0</v>
      </c>
      <c r="K48" s="71" t="n">
        <f aca="false">J48+K36-(K43-K42)</f>
        <v>-30000</v>
      </c>
      <c r="L48" s="71" t="n">
        <f aca="false">K48+L36-(L43-L42)</f>
        <v>-15000</v>
      </c>
      <c r="M48" s="71" t="n">
        <f aca="false">L48+M36-(M43-M42)</f>
        <v>0</v>
      </c>
      <c r="N48" s="71" t="n">
        <f aca="false">M48+N36-(N43-N42)</f>
        <v>-30000</v>
      </c>
      <c r="O48" s="71" t="n">
        <f aca="false">N48+O36-(O43-O42)</f>
        <v>-15000</v>
      </c>
      <c r="P48" s="71" t="n">
        <f aca="false">O48+P36-(P43-P42)</f>
        <v>0</v>
      </c>
      <c r="Q48" s="71" t="n">
        <f aca="false">P48+Q36-(Q43-Q42)</f>
        <v>-30000</v>
      </c>
      <c r="R48" s="71" t="n">
        <f aca="false">Q48+R36-(R43-R42)</f>
        <v>-15000</v>
      </c>
      <c r="S48" s="71" t="n">
        <f aca="false">R48+S36-(S43-S42)</f>
        <v>0</v>
      </c>
      <c r="T48" s="71" t="n">
        <f aca="false">S48+T36-(T43-T42)</f>
        <v>-28080</v>
      </c>
      <c r="U48" s="71" t="n">
        <f aca="false">T48+U36-(U43-U42)</f>
        <v>-14040</v>
      </c>
      <c r="V48" s="71" t="n">
        <f aca="false">U48+V36-(V43-V42)</f>
        <v>0</v>
      </c>
      <c r="W48" s="71" t="n">
        <f aca="false">V48+W36-(W43-W42)</f>
        <v>-28080</v>
      </c>
      <c r="X48" s="71" t="n">
        <f aca="false">W48+X36-(X43-X42)</f>
        <v>-14040</v>
      </c>
      <c r="Y48" s="71" t="n">
        <f aca="false">X48+Y36-(Y43-Y42)</f>
        <v>0</v>
      </c>
      <c r="Z48" s="71" t="n">
        <f aca="false">Y48+Z36-(Z43-Z42)</f>
        <v>-28080</v>
      </c>
      <c r="AA48" s="71" t="n">
        <f aca="false">Z48+AA36-(AA43-AA42)</f>
        <v>-14040</v>
      </c>
      <c r="AB48" s="71" t="n">
        <f aca="false">AA48+AB36-(AB43-AB42)</f>
        <v>0</v>
      </c>
    </row>
    <row r="49" customFormat="false" ht="15" hidden="false" customHeight="false" outlineLevel="0" collapsed="false">
      <c r="A49" s="28" t="s">
        <v>723</v>
      </c>
      <c r="B49" s="58"/>
      <c r="C49" s="59" t="n">
        <f aca="false">P49</f>
        <v>84765.5520269008</v>
      </c>
      <c r="D49" s="59" t="n">
        <f aca="false">AB49</f>
        <v>76288.9968242107</v>
      </c>
      <c r="E49" s="60" t="n">
        <f aca="false">E47/FX!E10</f>
        <v>117185.557607943</v>
      </c>
      <c r="F49" s="60" t="n">
        <f aca="false">F47/FX!F10</f>
        <v>60866.5753737305</v>
      </c>
      <c r="G49" s="60" t="n">
        <f aca="false">G47/FX!G10</f>
        <v>67480.6697914387</v>
      </c>
      <c r="H49" s="60" t="n">
        <f aca="false">H47/FX!H10</f>
        <v>137322.874458874</v>
      </c>
      <c r="I49" s="60" t="n">
        <f aca="false">I47/FX!I10</f>
        <v>69670.9984663815</v>
      </c>
      <c r="J49" s="60" t="n">
        <f aca="false">J47/FX!J10</f>
        <v>56700.5384204785</v>
      </c>
      <c r="K49" s="60" t="n">
        <f aca="false">K47/FX!K10</f>
        <v>107366.14352658</v>
      </c>
      <c r="L49" s="60" t="n">
        <f aca="false">L47/FX!L10</f>
        <v>69053.3929572202</v>
      </c>
      <c r="M49" s="60" t="n">
        <f aca="false">M47/FX!M10</f>
        <v>70637.9600224173</v>
      </c>
      <c r="N49" s="60" t="n">
        <f aca="false">N47/FX!N10</f>
        <v>130242.387446292</v>
      </c>
      <c r="O49" s="60" t="n">
        <f aca="false">O47/FX!O10</f>
        <v>95361.2460302634</v>
      </c>
      <c r="P49" s="60" t="n">
        <f aca="false">P47/FX!P10</f>
        <v>84765.5520269008</v>
      </c>
      <c r="Q49" s="60" t="n">
        <f aca="false">Q47/FX!Q10</f>
        <v>112582.897440687</v>
      </c>
      <c r="R49" s="60" t="n">
        <f aca="false">R47/FX!R10</f>
        <v>60042.2660190547</v>
      </c>
      <c r="S49" s="60" t="n">
        <f aca="false">S47/FX!S10</f>
        <v>67106.0620212965</v>
      </c>
      <c r="T49" s="60" t="n">
        <f aca="false">T47/FX!T10</f>
        <v>112752.195030824</v>
      </c>
      <c r="U49" s="60" t="n">
        <f aca="false">U47/FX!U10</f>
        <v>63574.1640201756</v>
      </c>
      <c r="V49" s="60" t="n">
        <f aca="false">V47/FX!V10</f>
        <v>60395.4558191668</v>
      </c>
      <c r="W49" s="60" t="n">
        <f aca="false">W47/FX!W10</f>
        <v>103216.070427797</v>
      </c>
      <c r="X49" s="60" t="n">
        <f aca="false">X47/FX!X10</f>
        <v>57216.747618158</v>
      </c>
      <c r="Y49" s="60" t="n">
        <f aca="false">Y47/FX!Y10</f>
        <v>63574.1640201756</v>
      </c>
      <c r="Z49" s="60" t="n">
        <f aca="false">Z47/FX!Z10</f>
        <v>119109.611432841</v>
      </c>
      <c r="AA49" s="60" t="n">
        <f aca="false">AA47/FX!AA10</f>
        <v>85825.1214272371</v>
      </c>
      <c r="AB49" s="60" t="n">
        <f aca="false">AB47/FX!AB10</f>
        <v>76288.9968242107</v>
      </c>
    </row>
    <row r="50" customFormat="false" ht="15" hidden="false" customHeight="false" outlineLevel="0" collapsed="false">
      <c r="A50" s="28" t="s">
        <v>724</v>
      </c>
      <c r="B50" s="58"/>
      <c r="C50" s="66" t="n">
        <f aca="false">P50</f>
        <v>24.9078152920154</v>
      </c>
      <c r="D50" s="66" t="n">
        <f aca="false">AB50</f>
        <v>24.7402895843064</v>
      </c>
      <c r="E50" s="72" t="n">
        <f aca="false">IFERROR(E47/AVERAGE(E45:E45)*30.4,0)</f>
        <v>30.2758466982423</v>
      </c>
      <c r="F50" s="72" t="n">
        <f aca="false">IFERROR(F47/AVERAGE(E45:F45)*30.4,0)</f>
        <v>20.9984382128767</v>
      </c>
      <c r="G50" s="72" t="n">
        <f aca="false">IFERROR(G47/AVERAGE(E45:G45)*30.4,0)</f>
        <v>25.0754843536439</v>
      </c>
      <c r="H50" s="72" t="n">
        <f aca="false">IFERROR(H47/AVERAGE(F45:H45)*30.4,0)</f>
        <v>48.3307371897692</v>
      </c>
      <c r="I50" s="72" t="n">
        <f aca="false">IFERROR(I47/AVERAGE(G45:I45)*30.4,0)</f>
        <v>23.566424485037</v>
      </c>
      <c r="J50" s="72" t="n">
        <f aca="false">IFERROR(J47/AVERAGE(H45:J45)*30.4,0)</f>
        <v>19.4328746011409</v>
      </c>
      <c r="K50" s="72" t="n">
        <f aca="false">IFERROR(K47/AVERAGE(I45:K45)*30.4,0)</f>
        <v>39.1862390957534</v>
      </c>
      <c r="L50" s="72" t="n">
        <f aca="false">IFERROR(L47/AVERAGE(J45:L45)*30.4,0)</f>
        <v>24.7448157406639</v>
      </c>
      <c r="M50" s="72" t="n">
        <f aca="false">IFERROR(M47/AVERAGE(K45:M45)*30.4,0)</f>
        <v>24.5986996072393</v>
      </c>
      <c r="N50" s="72" t="n">
        <f aca="false">IFERROR(N47/AVERAGE(L45:N45)*30.4,0)</f>
        <v>42.7332250303749</v>
      </c>
      <c r="O50" s="72" t="n">
        <f aca="false">IFERROR(O47/AVERAGE(M45:O45)*30.4,0)</f>
        <v>29.3576115873485</v>
      </c>
      <c r="P50" s="72" t="n">
        <f aca="false">IFERROR(P47/AVERAGE(N45:P45)*30.4,0)</f>
        <v>24.9078152920154</v>
      </c>
      <c r="Q50" s="72" t="n">
        <f aca="false">IFERROR(Q47/AVERAGE(O45:Q45)*30.4,0)</f>
        <v>35.0776226565616</v>
      </c>
      <c r="R50" s="72" t="n">
        <f aca="false">IFERROR(R47/AVERAGE(P45:R45)*30.4,0)</f>
        <v>21.2744840099796</v>
      </c>
      <c r="S50" s="72" t="n">
        <f aca="false">IFERROR(S47/AVERAGE(Q45:S45)*30.4,0)</f>
        <v>25.5288932180689</v>
      </c>
      <c r="T50" s="72" t="n">
        <f aca="false">IFERROR(T47/AVERAGE(R45:T45)*30.4,0)</f>
        <v>42.8636005256242</v>
      </c>
      <c r="U50" s="72" t="n">
        <f aca="false">IFERROR(U47/AVERAGE(S45:U45)*30.4,0)</f>
        <v>23.8175495815247</v>
      </c>
      <c r="V50" s="72" t="n">
        <f aca="false">IFERROR(V47/AVERAGE(T45:V45)*30.4,0)</f>
        <v>23.2680945511042</v>
      </c>
      <c r="W50" s="72" t="n">
        <f aca="false">IFERROR(W47/AVERAGE(U45:W45)*30.4,0)</f>
        <v>41.4344125809436</v>
      </c>
      <c r="X50" s="72" t="n">
        <f aca="false">IFERROR(X47/AVERAGE(V45:X45)*30.4,0)</f>
        <v>23.6299785867238</v>
      </c>
      <c r="Y50" s="72" t="n">
        <f aca="false">IFERROR(Y47/AVERAGE(W45:Y45)*30.4,0)</f>
        <v>25.882960009382</v>
      </c>
      <c r="Z50" s="72" t="n">
        <f aca="false">IFERROR(Z47/AVERAGE(X45:Z45)*30.4,0)</f>
        <v>45.280420499343</v>
      </c>
      <c r="AA50" s="72" t="n">
        <f aca="false">IFERROR(AA47/AVERAGE(Y45:AA45)*30.4,0)</f>
        <v>29.1508071617259</v>
      </c>
      <c r="AB50" s="72" t="n">
        <f aca="false">IFERROR(AB47/AVERAGE(Z45:AB45)*30.4,0)</f>
        <v>24.7402895843064</v>
      </c>
    </row>
    <row r="52" customFormat="false" ht="15" hidden="false" customHeight="false" outlineLevel="0" collapsed="false">
      <c r="A52" s="22" t="s">
        <v>726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customFormat="false" ht="15" hidden="false" customHeight="false" outlineLevel="0" collapsed="false">
      <c r="A53" s="28" t="s">
        <v>331</v>
      </c>
      <c r="B53" s="58" t="s">
        <v>49</v>
      </c>
      <c r="C53" s="59" t="n">
        <f aca="false">SUM(E53:P53)</f>
        <v>80500</v>
      </c>
      <c r="D53" s="59" t="n">
        <f aca="false">SUM(Q53:AB53)</f>
        <v>128662</v>
      </c>
      <c r="E53" s="60" t="n">
        <f aca="false">Retainers!E40</f>
        <v>0</v>
      </c>
      <c r="F53" s="60" t="n">
        <f aca="false">Retainers!F40</f>
        <v>0</v>
      </c>
      <c r="G53" s="60" t="n">
        <f aca="false">Retainers!G40</f>
        <v>0</v>
      </c>
      <c r="H53" s="60" t="n">
        <f aca="false">Retainers!H40</f>
        <v>0</v>
      </c>
      <c r="I53" s="60" t="n">
        <f aca="false">Retainers!I40</f>
        <v>0</v>
      </c>
      <c r="J53" s="60" t="n">
        <f aca="false">Retainers!J40</f>
        <v>11500</v>
      </c>
      <c r="K53" s="60" t="n">
        <f aca="false">Retainers!K40</f>
        <v>11500</v>
      </c>
      <c r="L53" s="60" t="n">
        <f aca="false">Retainers!L40</f>
        <v>11500</v>
      </c>
      <c r="M53" s="60" t="n">
        <f aca="false">Retainers!M40</f>
        <v>11500</v>
      </c>
      <c r="N53" s="60" t="n">
        <f aca="false">Retainers!N40</f>
        <v>11500</v>
      </c>
      <c r="O53" s="60" t="n">
        <f aca="false">Retainers!O40</f>
        <v>11500</v>
      </c>
      <c r="P53" s="60" t="n">
        <f aca="false">Retainers!P40</f>
        <v>11500</v>
      </c>
      <c r="Q53" s="60" t="n">
        <f aca="false">Retainers!Q40</f>
        <v>11500</v>
      </c>
      <c r="R53" s="60" t="n">
        <f aca="false">Retainers!R40</f>
        <v>11500</v>
      </c>
      <c r="S53" s="60" t="n">
        <f aca="false">Retainers!S40</f>
        <v>11500</v>
      </c>
      <c r="T53" s="60" t="n">
        <f aca="false">Retainers!T40</f>
        <v>11500</v>
      </c>
      <c r="U53" s="60" t="n">
        <f aca="false">Retainers!U40</f>
        <v>11500</v>
      </c>
      <c r="V53" s="60" t="n">
        <f aca="false">Retainers!V40</f>
        <v>10166</v>
      </c>
      <c r="W53" s="60" t="n">
        <f aca="false">Retainers!W40</f>
        <v>10166</v>
      </c>
      <c r="X53" s="60" t="n">
        <f aca="false">Retainers!X40</f>
        <v>10166</v>
      </c>
      <c r="Y53" s="60" t="n">
        <f aca="false">Retainers!Y40</f>
        <v>10166</v>
      </c>
      <c r="Z53" s="60" t="n">
        <f aca="false">Retainers!Z40</f>
        <v>10166</v>
      </c>
      <c r="AA53" s="60" t="n">
        <f aca="false">Retainers!AA40</f>
        <v>10166</v>
      </c>
      <c r="AB53" s="60" t="n">
        <f aca="false">Retainers!AB40</f>
        <v>10166</v>
      </c>
    </row>
    <row r="54" customFormat="false" ht="15" hidden="false" customHeight="false" outlineLevel="0" collapsed="false">
      <c r="A54" s="28" t="s">
        <v>700</v>
      </c>
      <c r="B54" s="58" t="s">
        <v>51</v>
      </c>
      <c r="C54" s="59" t="n">
        <f aca="false">SUM(E54:P54)</f>
        <v>0</v>
      </c>
      <c r="D54" s="59" t="n">
        <f aca="false">SUM(Q54:AB54)</f>
        <v>0</v>
      </c>
      <c r="E54" s="71" t="n">
        <f aca="false">0</f>
        <v>0</v>
      </c>
      <c r="F54" s="71" t="n">
        <f aca="false">0</f>
        <v>0</v>
      </c>
      <c r="G54" s="71" t="n">
        <f aca="false">0</f>
        <v>0</v>
      </c>
      <c r="H54" s="71" t="n">
        <f aca="false">0</f>
        <v>0</v>
      </c>
      <c r="I54" s="71" t="n">
        <f aca="false">0</f>
        <v>0</v>
      </c>
      <c r="J54" s="71" t="n">
        <f aca="false">0</f>
        <v>0</v>
      </c>
      <c r="K54" s="71" t="n">
        <f aca="false">0</f>
        <v>0</v>
      </c>
      <c r="L54" s="71" t="n">
        <f aca="false">0</f>
        <v>0</v>
      </c>
      <c r="M54" s="71" t="n">
        <f aca="false">0</f>
        <v>0</v>
      </c>
      <c r="N54" s="71" t="n">
        <f aca="false">0</f>
        <v>0</v>
      </c>
      <c r="O54" s="71" t="n">
        <f aca="false">0</f>
        <v>0</v>
      </c>
      <c r="P54" s="71" t="n">
        <f aca="false">0</f>
        <v>0</v>
      </c>
      <c r="Q54" s="71" t="n">
        <f aca="false">0</f>
        <v>0</v>
      </c>
      <c r="R54" s="71" t="n">
        <f aca="false">0</f>
        <v>0</v>
      </c>
      <c r="S54" s="71" t="n">
        <f aca="false">0</f>
        <v>0</v>
      </c>
      <c r="T54" s="71" t="n">
        <f aca="false">0</f>
        <v>0</v>
      </c>
      <c r="U54" s="71" t="n">
        <f aca="false">0</f>
        <v>0</v>
      </c>
      <c r="V54" s="71" t="n">
        <f aca="false">0</f>
        <v>0</v>
      </c>
      <c r="W54" s="71" t="n">
        <f aca="false">0</f>
        <v>0</v>
      </c>
      <c r="X54" s="71" t="n">
        <f aca="false">0</f>
        <v>0</v>
      </c>
      <c r="Y54" s="71" t="n">
        <f aca="false">0</f>
        <v>0</v>
      </c>
      <c r="Z54" s="71" t="n">
        <f aca="false">0</f>
        <v>0</v>
      </c>
      <c r="AA54" s="71" t="n">
        <f aca="false">0</f>
        <v>0</v>
      </c>
      <c r="AB54" s="71" t="n">
        <f aca="false">0</f>
        <v>0</v>
      </c>
    </row>
    <row r="55" customFormat="false" ht="15" hidden="false" customHeight="false" outlineLevel="0" collapsed="false">
      <c r="A55" s="28" t="s">
        <v>333</v>
      </c>
      <c r="B55" s="58" t="s">
        <v>53</v>
      </c>
      <c r="C55" s="59" t="n">
        <f aca="false">SUM(E55:P55)</f>
        <v>0</v>
      </c>
      <c r="D55" s="59" t="n">
        <f aca="false">SUM(Q55:AB55)</f>
        <v>0</v>
      </c>
      <c r="E55" s="71" t="n">
        <f aca="false">0</f>
        <v>0</v>
      </c>
      <c r="F55" s="71" t="n">
        <f aca="false">0</f>
        <v>0</v>
      </c>
      <c r="G55" s="71" t="n">
        <f aca="false">0</f>
        <v>0</v>
      </c>
      <c r="H55" s="71" t="n">
        <f aca="false">0</f>
        <v>0</v>
      </c>
      <c r="I55" s="71" t="n">
        <f aca="false">0</f>
        <v>0</v>
      </c>
      <c r="J55" s="71" t="n">
        <f aca="false">0</f>
        <v>0</v>
      </c>
      <c r="K55" s="71" t="n">
        <f aca="false">0</f>
        <v>0</v>
      </c>
      <c r="L55" s="71" t="n">
        <f aca="false">0</f>
        <v>0</v>
      </c>
      <c r="M55" s="71" t="n">
        <f aca="false">0</f>
        <v>0</v>
      </c>
      <c r="N55" s="71" t="n">
        <f aca="false">0</f>
        <v>0</v>
      </c>
      <c r="O55" s="71" t="n">
        <f aca="false">0</f>
        <v>0</v>
      </c>
      <c r="P55" s="71" t="n">
        <f aca="false">0</f>
        <v>0</v>
      </c>
      <c r="Q55" s="71" t="n">
        <f aca="false">0</f>
        <v>0</v>
      </c>
      <c r="R55" s="71" t="n">
        <f aca="false">0</f>
        <v>0</v>
      </c>
      <c r="S55" s="71" t="n">
        <f aca="false">0</f>
        <v>0</v>
      </c>
      <c r="T55" s="71" t="n">
        <f aca="false">0</f>
        <v>0</v>
      </c>
      <c r="U55" s="71" t="n">
        <f aca="false">0</f>
        <v>0</v>
      </c>
      <c r="V55" s="71" t="n">
        <f aca="false">0</f>
        <v>0</v>
      </c>
      <c r="W55" s="71" t="n">
        <f aca="false">0</f>
        <v>0</v>
      </c>
      <c r="X55" s="71" t="n">
        <f aca="false">0</f>
        <v>0</v>
      </c>
      <c r="Y55" s="71" t="n">
        <f aca="false">0</f>
        <v>0</v>
      </c>
      <c r="Z55" s="71" t="n">
        <f aca="false">0</f>
        <v>0</v>
      </c>
      <c r="AA55" s="71" t="n">
        <f aca="false">0</f>
        <v>0</v>
      </c>
      <c r="AB55" s="71" t="n">
        <f aca="false">0</f>
        <v>0</v>
      </c>
    </row>
    <row r="56" customFormat="false" ht="15" hidden="false" customHeight="false" outlineLevel="0" collapsed="false">
      <c r="A56" s="28" t="s">
        <v>334</v>
      </c>
      <c r="B56" s="58" t="s">
        <v>53</v>
      </c>
      <c r="C56" s="59" t="n">
        <f aca="false">SUM(E56:P56)</f>
        <v>0</v>
      </c>
      <c r="D56" s="59" t="n">
        <f aca="false">SUM(Q56:AB56)</f>
        <v>0</v>
      </c>
      <c r="E56" s="71" t="n">
        <f aca="false">0</f>
        <v>0</v>
      </c>
      <c r="F56" s="71" t="n">
        <f aca="false">0</f>
        <v>0</v>
      </c>
      <c r="G56" s="71" t="n">
        <f aca="false">0</f>
        <v>0</v>
      </c>
      <c r="H56" s="71" t="n">
        <f aca="false">0</f>
        <v>0</v>
      </c>
      <c r="I56" s="71" t="n">
        <f aca="false">0</f>
        <v>0</v>
      </c>
      <c r="J56" s="71" t="n">
        <f aca="false">0</f>
        <v>0</v>
      </c>
      <c r="K56" s="71" t="n">
        <f aca="false">0</f>
        <v>0</v>
      </c>
      <c r="L56" s="71" t="n">
        <f aca="false">0</f>
        <v>0</v>
      </c>
      <c r="M56" s="71" t="n">
        <f aca="false">0</f>
        <v>0</v>
      </c>
      <c r="N56" s="71" t="n">
        <f aca="false">0</f>
        <v>0</v>
      </c>
      <c r="O56" s="71" t="n">
        <f aca="false">0</f>
        <v>0</v>
      </c>
      <c r="P56" s="71" t="n">
        <f aca="false">0</f>
        <v>0</v>
      </c>
      <c r="Q56" s="71" t="n">
        <f aca="false">0</f>
        <v>0</v>
      </c>
      <c r="R56" s="71" t="n">
        <f aca="false">0</f>
        <v>0</v>
      </c>
      <c r="S56" s="71" t="n">
        <f aca="false">0</f>
        <v>0</v>
      </c>
      <c r="T56" s="71" t="n">
        <f aca="false">0</f>
        <v>0</v>
      </c>
      <c r="U56" s="71" t="n">
        <f aca="false">0</f>
        <v>0</v>
      </c>
      <c r="V56" s="71" t="n">
        <f aca="false">0</f>
        <v>0</v>
      </c>
      <c r="W56" s="71" t="n">
        <f aca="false">0</f>
        <v>0</v>
      </c>
      <c r="X56" s="71" t="n">
        <f aca="false">0</f>
        <v>0</v>
      </c>
      <c r="Y56" s="71" t="n">
        <f aca="false">0</f>
        <v>0</v>
      </c>
      <c r="Z56" s="71" t="n">
        <f aca="false">0</f>
        <v>0</v>
      </c>
      <c r="AA56" s="71" t="n">
        <f aca="false">0</f>
        <v>0</v>
      </c>
      <c r="AB56" s="71" t="n">
        <f aca="false">0</f>
        <v>0</v>
      </c>
    </row>
    <row r="57" customFormat="false" ht="15" hidden="false" customHeight="false" outlineLevel="0" collapsed="false">
      <c r="A57" s="28" t="s">
        <v>701</v>
      </c>
      <c r="B57" s="58" t="s">
        <v>51</v>
      </c>
      <c r="C57" s="59" t="n">
        <f aca="false">SUM(E57:P57)</f>
        <v>0</v>
      </c>
      <c r="D57" s="59" t="n">
        <f aca="false">SUM(Q57:AB57)</f>
        <v>0</v>
      </c>
      <c r="E57" s="71" t="n">
        <f aca="false">0</f>
        <v>0</v>
      </c>
      <c r="F57" s="71" t="n">
        <f aca="false">0</f>
        <v>0</v>
      </c>
      <c r="G57" s="71" t="n">
        <f aca="false">0</f>
        <v>0</v>
      </c>
      <c r="H57" s="71" t="n">
        <f aca="false">0</f>
        <v>0</v>
      </c>
      <c r="I57" s="71" t="n">
        <f aca="false">0</f>
        <v>0</v>
      </c>
      <c r="J57" s="71" t="n">
        <f aca="false">0</f>
        <v>0</v>
      </c>
      <c r="K57" s="71" t="n">
        <f aca="false">0</f>
        <v>0</v>
      </c>
      <c r="L57" s="71" t="n">
        <f aca="false">0</f>
        <v>0</v>
      </c>
      <c r="M57" s="71" t="n">
        <f aca="false">0</f>
        <v>0</v>
      </c>
      <c r="N57" s="71" t="n">
        <f aca="false">0</f>
        <v>0</v>
      </c>
      <c r="O57" s="71" t="n">
        <f aca="false">0</f>
        <v>0</v>
      </c>
      <c r="P57" s="71" t="n">
        <f aca="false">0</f>
        <v>0</v>
      </c>
      <c r="Q57" s="71" t="n">
        <f aca="false">0</f>
        <v>0</v>
      </c>
      <c r="R57" s="71" t="n">
        <f aca="false">0</f>
        <v>0</v>
      </c>
      <c r="S57" s="71" t="n">
        <f aca="false">0</f>
        <v>0</v>
      </c>
      <c r="T57" s="71" t="n">
        <f aca="false">0</f>
        <v>0</v>
      </c>
      <c r="U57" s="71" t="n">
        <f aca="false">0</f>
        <v>0</v>
      </c>
      <c r="V57" s="71" t="n">
        <f aca="false">0</f>
        <v>0</v>
      </c>
      <c r="W57" s="71" t="n">
        <f aca="false">0</f>
        <v>0</v>
      </c>
      <c r="X57" s="71" t="n">
        <f aca="false">0</f>
        <v>0</v>
      </c>
      <c r="Y57" s="71" t="n">
        <f aca="false">0</f>
        <v>0</v>
      </c>
      <c r="Z57" s="71" t="n">
        <f aca="false">0</f>
        <v>0</v>
      </c>
      <c r="AA57" s="71" t="n">
        <f aca="false">0</f>
        <v>0</v>
      </c>
      <c r="AB57" s="71" t="n">
        <f aca="false">0</f>
        <v>0</v>
      </c>
    </row>
    <row r="58" customFormat="false" ht="15" hidden="false" customHeight="false" outlineLevel="0" collapsed="false">
      <c r="A58" s="68" t="s">
        <v>702</v>
      </c>
      <c r="B58" s="69"/>
      <c r="C58" s="70" t="n">
        <f aca="false">SUM(E58:P58)</f>
        <v>80500</v>
      </c>
      <c r="D58" s="70" t="n">
        <f aca="false">SUM(Q58:AB58)</f>
        <v>128662</v>
      </c>
      <c r="E58" s="70" t="n">
        <f aca="false">SUM(E53:E57)</f>
        <v>0</v>
      </c>
      <c r="F58" s="70" t="n">
        <f aca="false">SUM(F53:F57)</f>
        <v>0</v>
      </c>
      <c r="G58" s="70" t="n">
        <f aca="false">SUM(G53:G57)</f>
        <v>0</v>
      </c>
      <c r="H58" s="70" t="n">
        <f aca="false">SUM(H53:H57)</f>
        <v>0</v>
      </c>
      <c r="I58" s="70" t="n">
        <f aca="false">SUM(I53:I57)</f>
        <v>0</v>
      </c>
      <c r="J58" s="70" t="n">
        <f aca="false">SUM(J53:J57)</f>
        <v>11500</v>
      </c>
      <c r="K58" s="70" t="n">
        <f aca="false">SUM(K53:K57)</f>
        <v>11500</v>
      </c>
      <c r="L58" s="70" t="n">
        <f aca="false">SUM(L53:L57)</f>
        <v>11500</v>
      </c>
      <c r="M58" s="70" t="n">
        <f aca="false">SUM(M53:M57)</f>
        <v>11500</v>
      </c>
      <c r="N58" s="70" t="n">
        <f aca="false">SUM(N53:N57)</f>
        <v>11500</v>
      </c>
      <c r="O58" s="70" t="n">
        <f aca="false">SUM(O53:O57)</f>
        <v>11500</v>
      </c>
      <c r="P58" s="70" t="n">
        <f aca="false">SUM(P53:P57)</f>
        <v>11500</v>
      </c>
      <c r="Q58" s="70" t="n">
        <f aca="false">SUM(Q53:Q57)</f>
        <v>11500</v>
      </c>
      <c r="R58" s="70" t="n">
        <f aca="false">SUM(R53:R57)</f>
        <v>11500</v>
      </c>
      <c r="S58" s="70" t="n">
        <f aca="false">SUM(S53:S57)</f>
        <v>11500</v>
      </c>
      <c r="T58" s="70" t="n">
        <f aca="false">SUM(T53:T57)</f>
        <v>11500</v>
      </c>
      <c r="U58" s="70" t="n">
        <f aca="false">SUM(U53:U57)</f>
        <v>11500</v>
      </c>
      <c r="V58" s="70" t="n">
        <f aca="false">SUM(V53:V57)</f>
        <v>10166</v>
      </c>
      <c r="W58" s="70" t="n">
        <f aca="false">SUM(W53:W57)</f>
        <v>10166</v>
      </c>
      <c r="X58" s="70" t="n">
        <f aca="false">SUM(X53:X57)</f>
        <v>10166</v>
      </c>
      <c r="Y58" s="70" t="n">
        <f aca="false">SUM(Y53:Y57)</f>
        <v>10166</v>
      </c>
      <c r="Z58" s="70" t="n">
        <f aca="false">SUM(Z53:Z57)</f>
        <v>10166</v>
      </c>
      <c r="AA58" s="70" t="n">
        <f aca="false">SUM(AA53:AA57)</f>
        <v>10166</v>
      </c>
      <c r="AB58" s="70" t="n">
        <f aca="false">SUM(AB53:AB57)</f>
        <v>10166</v>
      </c>
    </row>
    <row r="59" customFormat="false" ht="15" hidden="false" customHeight="false" outlineLevel="0" collapsed="false">
      <c r="A59" s="28" t="s">
        <v>703</v>
      </c>
      <c r="B59" s="58"/>
      <c r="C59" s="59" t="n">
        <f aca="false">SUM(E59:P59)</f>
        <v>93835.0987466774</v>
      </c>
      <c r="D59" s="59" t="n">
        <f aca="false">SUM(Q59:AB59)</f>
        <v>150221.838221558</v>
      </c>
      <c r="E59" s="60" t="n">
        <f aca="false">E58/FX!E9</f>
        <v>0</v>
      </c>
      <c r="F59" s="60" t="n">
        <f aca="false">F58/FX!F9</f>
        <v>0</v>
      </c>
      <c r="G59" s="60" t="n">
        <f aca="false">G58/FX!G9</f>
        <v>0</v>
      </c>
      <c r="H59" s="60" t="n">
        <f aca="false">H58/FX!H9</f>
        <v>0</v>
      </c>
      <c r="I59" s="60" t="n">
        <f aca="false">I58/FX!I9</f>
        <v>0</v>
      </c>
      <c r="J59" s="60" t="n">
        <f aca="false">J58/FX!J9</f>
        <v>13302.4869866975</v>
      </c>
      <c r="K59" s="60" t="n">
        <f aca="false">K58/FX!K9</f>
        <v>13391.557496361</v>
      </c>
      <c r="L59" s="60" t="n">
        <f aca="false">L58/FX!L9</f>
        <v>13432.8532548387</v>
      </c>
      <c r="M59" s="60" t="n">
        <f aca="false">M58/FX!M9</f>
        <v>13427.050252195</v>
      </c>
      <c r="N59" s="60" t="n">
        <f aca="false">N58/FX!N9</f>
        <v>13427.050252195</v>
      </c>
      <c r="O59" s="60" t="n">
        <f aca="false">O58/FX!O9</f>
        <v>13427.050252195</v>
      </c>
      <c r="P59" s="60" t="n">
        <f aca="false">P58/FX!P9</f>
        <v>13427.050252195</v>
      </c>
      <c r="Q59" s="60" t="n">
        <f aca="false">Q58/FX!Q9</f>
        <v>13427.050252195</v>
      </c>
      <c r="R59" s="60" t="n">
        <f aca="false">R58/FX!R9</f>
        <v>13427.050252195</v>
      </c>
      <c r="S59" s="60" t="n">
        <f aca="false">S58/FX!S9</f>
        <v>13427.050252195</v>
      </c>
      <c r="T59" s="60" t="n">
        <f aca="false">T58/FX!T9</f>
        <v>13427.050252195</v>
      </c>
      <c r="U59" s="60" t="n">
        <f aca="false">U58/FX!U9</f>
        <v>13427.050252195</v>
      </c>
      <c r="V59" s="60" t="n">
        <f aca="false">V58/FX!V9</f>
        <v>11869.5124229404</v>
      </c>
      <c r="W59" s="60" t="n">
        <f aca="false">W58/FX!W9</f>
        <v>11869.5124229404</v>
      </c>
      <c r="X59" s="60" t="n">
        <f aca="false">X58/FX!X9</f>
        <v>11869.5124229404</v>
      </c>
      <c r="Y59" s="60" t="n">
        <f aca="false">Y58/FX!Y9</f>
        <v>11869.5124229404</v>
      </c>
      <c r="Z59" s="60" t="n">
        <f aca="false">Z58/FX!Z9</f>
        <v>11869.5124229404</v>
      </c>
      <c r="AA59" s="60" t="n">
        <f aca="false">AA58/FX!AA9</f>
        <v>11869.5124229404</v>
      </c>
      <c r="AB59" s="60" t="n">
        <f aca="false">AB58/FX!AB9</f>
        <v>11869.5124229404</v>
      </c>
    </row>
    <row r="60" customFormat="false" ht="15" hidden="false" customHeight="false" outlineLevel="0" collapsed="false">
      <c r="A60" s="28" t="s">
        <v>704</v>
      </c>
      <c r="B60" s="58" t="s">
        <v>51</v>
      </c>
      <c r="C60" s="59" t="n">
        <f aca="false">SUM(E60:P60)</f>
        <v>0</v>
      </c>
      <c r="D60" s="59" t="n">
        <f aca="false">SUM(Q60:AB60)</f>
        <v>0</v>
      </c>
      <c r="E60" s="71" t="n">
        <f aca="false">0</f>
        <v>0</v>
      </c>
      <c r="F60" s="71" t="n">
        <f aca="false">0</f>
        <v>0</v>
      </c>
      <c r="G60" s="71" t="n">
        <f aca="false">0</f>
        <v>0</v>
      </c>
      <c r="H60" s="71" t="n">
        <f aca="false">0</f>
        <v>0</v>
      </c>
      <c r="I60" s="71" t="n">
        <f aca="false">0</f>
        <v>0</v>
      </c>
      <c r="J60" s="71" t="n">
        <f aca="false">0</f>
        <v>0</v>
      </c>
      <c r="K60" s="71" t="n">
        <f aca="false">0</f>
        <v>0</v>
      </c>
      <c r="L60" s="71" t="n">
        <f aca="false">0</f>
        <v>0</v>
      </c>
      <c r="M60" s="71" t="n">
        <f aca="false">0</f>
        <v>0</v>
      </c>
      <c r="N60" s="71" t="n">
        <f aca="false">0</f>
        <v>0</v>
      </c>
      <c r="O60" s="71" t="n">
        <f aca="false">0</f>
        <v>0</v>
      </c>
      <c r="P60" s="71" t="n">
        <f aca="false">0</f>
        <v>0</v>
      </c>
      <c r="Q60" s="71" t="n">
        <f aca="false">0</f>
        <v>0</v>
      </c>
      <c r="R60" s="71" t="n">
        <f aca="false">0</f>
        <v>0</v>
      </c>
      <c r="S60" s="71" t="n">
        <f aca="false">0</f>
        <v>0</v>
      </c>
      <c r="T60" s="71" t="n">
        <f aca="false">0</f>
        <v>0</v>
      </c>
      <c r="U60" s="71" t="n">
        <f aca="false">0</f>
        <v>0</v>
      </c>
      <c r="V60" s="71" t="n">
        <f aca="false">0</f>
        <v>0</v>
      </c>
      <c r="W60" s="71" t="n">
        <f aca="false">0</f>
        <v>0</v>
      </c>
      <c r="X60" s="71" t="n">
        <f aca="false">0</f>
        <v>0</v>
      </c>
      <c r="Y60" s="71" t="n">
        <f aca="false">0</f>
        <v>0</v>
      </c>
      <c r="Z60" s="71" t="n">
        <f aca="false">0</f>
        <v>0</v>
      </c>
      <c r="AA60" s="71" t="n">
        <f aca="false">0</f>
        <v>0</v>
      </c>
      <c r="AB60" s="71" t="n">
        <f aca="false">0</f>
        <v>0</v>
      </c>
    </row>
    <row r="61" customFormat="false" ht="15" hidden="false" customHeight="false" outlineLevel="0" collapsed="false">
      <c r="A61" s="68" t="s">
        <v>705</v>
      </c>
      <c r="B61" s="69" t="s">
        <v>706</v>
      </c>
      <c r="C61" s="70" t="n">
        <f aca="false">SUM(E61:P61)</f>
        <v>93835.0987466774</v>
      </c>
      <c r="D61" s="70" t="n">
        <f aca="false">SUM(Q61:AB61)</f>
        <v>150221.838221558</v>
      </c>
      <c r="E61" s="70" t="n">
        <f aca="false">E59-E60</f>
        <v>0</v>
      </c>
      <c r="F61" s="70" t="n">
        <f aca="false">F59-F60</f>
        <v>0</v>
      </c>
      <c r="G61" s="70" t="n">
        <f aca="false">G59-G60</f>
        <v>0</v>
      </c>
      <c r="H61" s="70" t="n">
        <f aca="false">H59-H60</f>
        <v>0</v>
      </c>
      <c r="I61" s="70" t="n">
        <f aca="false">I59-I60</f>
        <v>0</v>
      </c>
      <c r="J61" s="70" t="n">
        <f aca="false">J59-J60</f>
        <v>13302.4869866975</v>
      </c>
      <c r="K61" s="70" t="n">
        <f aca="false">K59-K60</f>
        <v>13391.557496361</v>
      </c>
      <c r="L61" s="70" t="n">
        <f aca="false">L59-L60</f>
        <v>13432.8532548387</v>
      </c>
      <c r="M61" s="70" t="n">
        <f aca="false">M59-M60</f>
        <v>13427.050252195</v>
      </c>
      <c r="N61" s="70" t="n">
        <f aca="false">N59-N60</f>
        <v>13427.050252195</v>
      </c>
      <c r="O61" s="70" t="n">
        <f aca="false">O59-O60</f>
        <v>13427.050252195</v>
      </c>
      <c r="P61" s="70" t="n">
        <f aca="false">P59-P60</f>
        <v>13427.050252195</v>
      </c>
      <c r="Q61" s="70" t="n">
        <f aca="false">Q59-Q60</f>
        <v>13427.050252195</v>
      </c>
      <c r="R61" s="70" t="n">
        <f aca="false">R59-R60</f>
        <v>13427.050252195</v>
      </c>
      <c r="S61" s="70" t="n">
        <f aca="false">S59-S60</f>
        <v>13427.050252195</v>
      </c>
      <c r="T61" s="70" t="n">
        <f aca="false">T59-T60</f>
        <v>13427.050252195</v>
      </c>
      <c r="U61" s="70" t="n">
        <f aca="false">U59-U60</f>
        <v>13427.050252195</v>
      </c>
      <c r="V61" s="70" t="n">
        <f aca="false">V59-V60</f>
        <v>11869.5124229404</v>
      </c>
      <c r="W61" s="70" t="n">
        <f aca="false">W59-W60</f>
        <v>11869.5124229404</v>
      </c>
      <c r="X61" s="70" t="n">
        <f aca="false">X59-X60</f>
        <v>11869.5124229404</v>
      </c>
      <c r="Y61" s="70" t="n">
        <f aca="false">Y59-Y60</f>
        <v>11869.5124229404</v>
      </c>
      <c r="Z61" s="70" t="n">
        <f aca="false">Z59-Z60</f>
        <v>11869.5124229404</v>
      </c>
      <c r="AA61" s="70" t="n">
        <f aca="false">AA59-AA60</f>
        <v>11869.5124229404</v>
      </c>
      <c r="AB61" s="70" t="n">
        <f aca="false">AB59-AB60</f>
        <v>11869.5124229404</v>
      </c>
    </row>
    <row r="62" customFormat="false" ht="15" hidden="false" customHeight="false" outlineLevel="0" collapsed="false">
      <c r="A62" s="28" t="s">
        <v>707</v>
      </c>
      <c r="B62" s="58" t="s">
        <v>708</v>
      </c>
      <c r="C62" s="66" t="n">
        <f aca="false">SUM(E62:P62)</f>
        <v>1033.55333333333</v>
      </c>
      <c r="D62" s="66" t="n">
        <f aca="false">SUM(Q62:AB62)</f>
        <v>1603.7735</v>
      </c>
      <c r="E62" s="67" t="n">
        <f aca="false">Retainers!E43</f>
        <v>0</v>
      </c>
      <c r="F62" s="67" t="n">
        <f aca="false">Retainers!F43</f>
        <v>0</v>
      </c>
      <c r="G62" s="67" t="n">
        <f aca="false">Retainers!G43</f>
        <v>0</v>
      </c>
      <c r="H62" s="67" t="n">
        <f aca="false">Retainers!H43</f>
        <v>0</v>
      </c>
      <c r="I62" s="67" t="n">
        <f aca="false">Retainers!I43</f>
        <v>0</v>
      </c>
      <c r="J62" s="67" t="n">
        <f aca="false">Retainers!J43</f>
        <v>153.2</v>
      </c>
      <c r="K62" s="67" t="n">
        <f aca="false">Retainers!K43</f>
        <v>146.2</v>
      </c>
      <c r="L62" s="67" t="n">
        <f aca="false">Retainers!L43</f>
        <v>148.3</v>
      </c>
      <c r="M62" s="67" t="n">
        <f aca="false">Retainers!M43</f>
        <v>146.463333333333</v>
      </c>
      <c r="N62" s="67" t="n">
        <f aca="false">Retainers!N43</f>
        <v>146.463333333333</v>
      </c>
      <c r="O62" s="67" t="n">
        <f aca="false">Retainers!O43</f>
        <v>146.463333333333</v>
      </c>
      <c r="P62" s="67" t="n">
        <f aca="false">Retainers!P43</f>
        <v>146.463333333333</v>
      </c>
      <c r="Q62" s="67" t="n">
        <f aca="false">Retainers!Q43</f>
        <v>146.463333333333</v>
      </c>
      <c r="R62" s="67" t="n">
        <f aca="false">Retainers!R43</f>
        <v>146.463333333333</v>
      </c>
      <c r="S62" s="67" t="n">
        <f aca="false">Retainers!S43</f>
        <v>146.463333333333</v>
      </c>
      <c r="T62" s="67" t="n">
        <f aca="false">Retainers!T43</f>
        <v>146.463333333333</v>
      </c>
      <c r="U62" s="67" t="n">
        <f aca="false">Retainers!U43</f>
        <v>146.463333333333</v>
      </c>
      <c r="V62" s="67" t="n">
        <f aca="false">Retainers!V43</f>
        <v>124.493833333333</v>
      </c>
      <c r="W62" s="67" t="n">
        <f aca="false">Retainers!W43</f>
        <v>124.493833333333</v>
      </c>
      <c r="X62" s="67" t="n">
        <f aca="false">Retainers!X43</f>
        <v>124.493833333333</v>
      </c>
      <c r="Y62" s="67" t="n">
        <f aca="false">Retainers!Y43</f>
        <v>124.493833333333</v>
      </c>
      <c r="Z62" s="67" t="n">
        <f aca="false">Retainers!Z43</f>
        <v>124.493833333333</v>
      </c>
      <c r="AA62" s="67" t="n">
        <f aca="false">Retainers!AA43</f>
        <v>124.493833333333</v>
      </c>
      <c r="AB62" s="67" t="n">
        <f aca="false">Retainers!AB43</f>
        <v>124.493833333333</v>
      </c>
    </row>
    <row r="63" customFormat="false" ht="15" hidden="false" customHeight="false" outlineLevel="0" collapsed="false">
      <c r="A63" s="28" t="s">
        <v>709</v>
      </c>
      <c r="B63" s="58" t="s">
        <v>710</v>
      </c>
      <c r="C63" s="59" t="n">
        <f aca="false">SUM(E63:P63)</f>
        <v>48084.6213829229</v>
      </c>
      <c r="D63" s="59" t="n">
        <f aca="false">SUM(Q63:AB63)</f>
        <v>77970.9152893717</v>
      </c>
      <c r="E63" s="60" t="n">
        <f aca="false">Retainers!E43*Utilisation!E88</f>
        <v>0</v>
      </c>
      <c r="F63" s="60" t="n">
        <f aca="false">Retainers!F43*Utilisation!F88</f>
        <v>0</v>
      </c>
      <c r="G63" s="60" t="n">
        <f aca="false">Retainers!G43*Utilisation!G88</f>
        <v>0</v>
      </c>
      <c r="H63" s="60" t="n">
        <f aca="false">Retainers!H43*Utilisation!H88</f>
        <v>0</v>
      </c>
      <c r="I63" s="60" t="n">
        <f aca="false">Retainers!I43*Utilisation!I88</f>
        <v>0</v>
      </c>
      <c r="J63" s="60" t="n">
        <f aca="false">Retainers!J43*Utilisation!J88</f>
        <v>7127.41544948216</v>
      </c>
      <c r="K63" s="60" t="n">
        <f aca="false">Retainers!K43*Utilisation!K88</f>
        <v>6801.75025270426</v>
      </c>
      <c r="L63" s="60" t="n">
        <f aca="false">Retainers!L43*Utilisation!L88</f>
        <v>6899.44981173763</v>
      </c>
      <c r="M63" s="60" t="n">
        <f aca="false">Retainers!M43*Utilisation!M88</f>
        <v>6814.00146724971</v>
      </c>
      <c r="N63" s="60" t="n">
        <f aca="false">Retainers!N43*Utilisation!N88</f>
        <v>6814.00146724971</v>
      </c>
      <c r="O63" s="60" t="n">
        <f aca="false">Retainers!O43*Utilisation!O88</f>
        <v>6814.00146724971</v>
      </c>
      <c r="P63" s="60" t="n">
        <f aca="false">Retainers!P43*Utilisation!P88</f>
        <v>6814.00146724971</v>
      </c>
      <c r="Q63" s="60" t="n">
        <f aca="false">Retainers!Q43*Utilisation!Q88</f>
        <v>7120.63153327595</v>
      </c>
      <c r="R63" s="60" t="n">
        <f aca="false">Retainers!R43*Utilisation!R88</f>
        <v>7120.63153327595</v>
      </c>
      <c r="S63" s="60" t="n">
        <f aca="false">Retainers!S43*Utilisation!S88</f>
        <v>7120.63153327595</v>
      </c>
      <c r="T63" s="60" t="n">
        <f aca="false">Retainers!T43*Utilisation!T88</f>
        <v>7120.63153327595</v>
      </c>
      <c r="U63" s="60" t="n">
        <f aca="false">Retainers!U43*Utilisation!U88</f>
        <v>7120.63153327595</v>
      </c>
      <c r="V63" s="60" t="n">
        <f aca="false">Retainers!V43*Utilisation!V88</f>
        <v>6052.53680328456</v>
      </c>
      <c r="W63" s="60" t="n">
        <f aca="false">Retainers!W43*Utilisation!W88</f>
        <v>6052.53680328456</v>
      </c>
      <c r="X63" s="60" t="n">
        <f aca="false">Retainers!X43*Utilisation!X88</f>
        <v>6052.53680328456</v>
      </c>
      <c r="Y63" s="60" t="n">
        <f aca="false">Retainers!Y43*Utilisation!Y88</f>
        <v>6052.53680328456</v>
      </c>
      <c r="Z63" s="60" t="n">
        <f aca="false">Retainers!Z43*Utilisation!Z88</f>
        <v>6052.53680328456</v>
      </c>
      <c r="AA63" s="60" t="n">
        <f aca="false">Retainers!AA43*Utilisation!AA88</f>
        <v>6052.53680328456</v>
      </c>
      <c r="AB63" s="60" t="n">
        <f aca="false">Retainers!AB43*Utilisation!AB88</f>
        <v>6052.53680328456</v>
      </c>
    </row>
    <row r="64" customFormat="false" ht="15" hidden="false" customHeight="false" outlineLevel="0" collapsed="false">
      <c r="A64" s="28" t="s">
        <v>711</v>
      </c>
      <c r="B64" s="58" t="s">
        <v>53</v>
      </c>
      <c r="C64" s="59" t="n">
        <f aca="false">SUM(E64:P64)</f>
        <v>0</v>
      </c>
      <c r="D64" s="59" t="n">
        <f aca="false">SUM(Q64:AB64)</f>
        <v>0</v>
      </c>
      <c r="E64" s="71" t="n">
        <f aca="false">0</f>
        <v>0</v>
      </c>
      <c r="F64" s="71" t="n">
        <f aca="false">0</f>
        <v>0</v>
      </c>
      <c r="G64" s="71" t="n">
        <f aca="false">0</f>
        <v>0</v>
      </c>
      <c r="H64" s="71" t="n">
        <f aca="false">0</f>
        <v>0</v>
      </c>
      <c r="I64" s="71" t="n">
        <f aca="false">0</f>
        <v>0</v>
      </c>
      <c r="J64" s="71" t="n">
        <f aca="false">0</f>
        <v>0</v>
      </c>
      <c r="K64" s="71" t="n">
        <f aca="false">0</f>
        <v>0</v>
      </c>
      <c r="L64" s="71" t="n">
        <f aca="false">0</f>
        <v>0</v>
      </c>
      <c r="M64" s="71" t="n">
        <f aca="false">0</f>
        <v>0</v>
      </c>
      <c r="N64" s="71" t="n">
        <f aca="false">0</f>
        <v>0</v>
      </c>
      <c r="O64" s="71" t="n">
        <f aca="false">0</f>
        <v>0</v>
      </c>
      <c r="P64" s="71" t="n">
        <f aca="false">0</f>
        <v>0</v>
      </c>
      <c r="Q64" s="71" t="n">
        <f aca="false">0</f>
        <v>0</v>
      </c>
      <c r="R64" s="71" t="n">
        <f aca="false">0</f>
        <v>0</v>
      </c>
      <c r="S64" s="71" t="n">
        <f aca="false">0</f>
        <v>0</v>
      </c>
      <c r="T64" s="71" t="n">
        <f aca="false">0</f>
        <v>0</v>
      </c>
      <c r="U64" s="71" t="n">
        <f aca="false">0</f>
        <v>0</v>
      </c>
      <c r="V64" s="71" t="n">
        <f aca="false">0</f>
        <v>0</v>
      </c>
      <c r="W64" s="71" t="n">
        <f aca="false">0</f>
        <v>0</v>
      </c>
      <c r="X64" s="71" t="n">
        <f aca="false">0</f>
        <v>0</v>
      </c>
      <c r="Y64" s="71" t="n">
        <f aca="false">0</f>
        <v>0</v>
      </c>
      <c r="Z64" s="71" t="n">
        <f aca="false">0</f>
        <v>0</v>
      </c>
      <c r="AA64" s="71" t="n">
        <f aca="false">0</f>
        <v>0</v>
      </c>
      <c r="AB64" s="71" t="n">
        <f aca="false">0</f>
        <v>0</v>
      </c>
    </row>
    <row r="65" customFormat="false" ht="15" hidden="false" customHeight="false" outlineLevel="0" collapsed="false">
      <c r="A65" s="28" t="s">
        <v>712</v>
      </c>
      <c r="B65" s="58" t="s">
        <v>713</v>
      </c>
      <c r="C65" s="59" t="n">
        <f aca="false">SUM(E65:P65)</f>
        <v>80500</v>
      </c>
      <c r="D65" s="59" t="n">
        <f aca="false">SUM(Q65:AB65)</f>
        <v>128662</v>
      </c>
      <c r="E65" s="60" t="n">
        <f aca="false">Retainers!E46+E56+E64+E57</f>
        <v>0</v>
      </c>
      <c r="F65" s="60" t="n">
        <f aca="false">Retainers!F46+F56+F64+F57</f>
        <v>0</v>
      </c>
      <c r="G65" s="60" t="n">
        <f aca="false">Retainers!G46+G56+G64+G57</f>
        <v>0</v>
      </c>
      <c r="H65" s="60" t="n">
        <f aca="false">Retainers!H46+H56+H64+H57</f>
        <v>0</v>
      </c>
      <c r="I65" s="60" t="n">
        <f aca="false">Retainers!I46+I56+I64+I57</f>
        <v>0</v>
      </c>
      <c r="J65" s="60" t="n">
        <f aca="false">Retainers!J46+J56+J64+J57</f>
        <v>11500</v>
      </c>
      <c r="K65" s="60" t="n">
        <f aca="false">Retainers!K46+K56+K64+K57</f>
        <v>11500</v>
      </c>
      <c r="L65" s="60" t="n">
        <f aca="false">Retainers!L46+L56+L64+L57</f>
        <v>11500</v>
      </c>
      <c r="M65" s="60" t="n">
        <f aca="false">Retainers!M46+M56+M64+M57</f>
        <v>11500</v>
      </c>
      <c r="N65" s="60" t="n">
        <f aca="false">Retainers!N46+N56+N64+N57</f>
        <v>11500</v>
      </c>
      <c r="O65" s="60" t="n">
        <f aca="false">Retainers!O46+O56+O64+O57</f>
        <v>11500</v>
      </c>
      <c r="P65" s="60" t="n">
        <f aca="false">Retainers!P46+P56+P64+P57</f>
        <v>11500</v>
      </c>
      <c r="Q65" s="60" t="n">
        <f aca="false">Retainers!Q46+Q56+Q64+Q57</f>
        <v>11500</v>
      </c>
      <c r="R65" s="60" t="n">
        <f aca="false">Retainers!R46+R56+R64+R57</f>
        <v>11500</v>
      </c>
      <c r="S65" s="60" t="n">
        <f aca="false">Retainers!S46+S56+S64+S57</f>
        <v>11500</v>
      </c>
      <c r="T65" s="60" t="n">
        <f aca="false">Retainers!T46+T56+T64+T57</f>
        <v>11500</v>
      </c>
      <c r="U65" s="60" t="n">
        <f aca="false">Retainers!U46+U56+U64+U57</f>
        <v>11500</v>
      </c>
      <c r="V65" s="60" t="n">
        <f aca="false">Retainers!V46+V56+V64+V57</f>
        <v>10166</v>
      </c>
      <c r="W65" s="60" t="n">
        <f aca="false">Retainers!W46+W56+W64+W57</f>
        <v>10166</v>
      </c>
      <c r="X65" s="60" t="n">
        <f aca="false">Retainers!X46+X56+X64+X57</f>
        <v>10166</v>
      </c>
      <c r="Y65" s="60" t="n">
        <f aca="false">Retainers!Y46+Y56+Y64+Y57</f>
        <v>10166</v>
      </c>
      <c r="Z65" s="60" t="n">
        <f aca="false">Retainers!Z46+Z56+Z64+Z57</f>
        <v>10166</v>
      </c>
      <c r="AA65" s="60" t="n">
        <f aca="false">Retainers!AA46+AA56+AA64+AA57</f>
        <v>10166</v>
      </c>
      <c r="AB65" s="60" t="n">
        <f aca="false">Retainers!AB46+AB56+AB64+AB57</f>
        <v>10166</v>
      </c>
    </row>
    <row r="66" customFormat="false" ht="15" hidden="false" customHeight="false" outlineLevel="0" collapsed="false">
      <c r="A66" s="28" t="s">
        <v>714</v>
      </c>
      <c r="B66" s="58" t="s">
        <v>715</v>
      </c>
      <c r="C66" s="59" t="n">
        <f aca="false">SUM(E66:P66)</f>
        <v>0</v>
      </c>
      <c r="D66" s="59" t="n">
        <f aca="false">SUM(Q66:AB66)</f>
        <v>0</v>
      </c>
      <c r="E66" s="60" t="n">
        <f aca="false">E65*Client_Register!$F$9</f>
        <v>0</v>
      </c>
      <c r="F66" s="60" t="n">
        <f aca="false">F65*Client_Register!$F$9</f>
        <v>0</v>
      </c>
      <c r="G66" s="60" t="n">
        <f aca="false">G65*Client_Register!$F$9</f>
        <v>0</v>
      </c>
      <c r="H66" s="60" t="n">
        <f aca="false">H65*Client_Register!$F$9</f>
        <v>0</v>
      </c>
      <c r="I66" s="60" t="n">
        <f aca="false">I65*Client_Register!$F$9</f>
        <v>0</v>
      </c>
      <c r="J66" s="60" t="n">
        <f aca="false">J65*Client_Register!$F$9</f>
        <v>0</v>
      </c>
      <c r="K66" s="60" t="n">
        <f aca="false">K65*Client_Register!$F$9</f>
        <v>0</v>
      </c>
      <c r="L66" s="60" t="n">
        <f aca="false">L65*Client_Register!$F$9</f>
        <v>0</v>
      </c>
      <c r="M66" s="60" t="n">
        <f aca="false">M65*Client_Register!$F$9</f>
        <v>0</v>
      </c>
      <c r="N66" s="60" t="n">
        <f aca="false">N65*Client_Register!$F$9</f>
        <v>0</v>
      </c>
      <c r="O66" s="60" t="n">
        <f aca="false">O65*Client_Register!$F$9</f>
        <v>0</v>
      </c>
      <c r="P66" s="60" t="n">
        <f aca="false">P65*Client_Register!$F$9</f>
        <v>0</v>
      </c>
      <c r="Q66" s="60" t="n">
        <f aca="false">Q65*Client_Register!$F$9</f>
        <v>0</v>
      </c>
      <c r="R66" s="60" t="n">
        <f aca="false">R65*Client_Register!$F$9</f>
        <v>0</v>
      </c>
      <c r="S66" s="60" t="n">
        <f aca="false">S65*Client_Register!$F$9</f>
        <v>0</v>
      </c>
      <c r="T66" s="60" t="n">
        <f aca="false">T65*Client_Register!$F$9</f>
        <v>0</v>
      </c>
      <c r="U66" s="60" t="n">
        <f aca="false">U65*Client_Register!$F$9</f>
        <v>0</v>
      </c>
      <c r="V66" s="60" t="n">
        <f aca="false">V65*Client_Register!$F$9</f>
        <v>0</v>
      </c>
      <c r="W66" s="60" t="n">
        <f aca="false">W65*Client_Register!$F$9</f>
        <v>0</v>
      </c>
      <c r="X66" s="60" t="n">
        <f aca="false">X65*Client_Register!$F$9</f>
        <v>0</v>
      </c>
      <c r="Y66" s="60" t="n">
        <f aca="false">Y65*Client_Register!$F$9</f>
        <v>0</v>
      </c>
      <c r="Z66" s="60" t="n">
        <f aca="false">Z65*Client_Register!$F$9</f>
        <v>0</v>
      </c>
      <c r="AA66" s="60" t="n">
        <f aca="false">AA65*Client_Register!$F$9</f>
        <v>0</v>
      </c>
      <c r="AB66" s="60" t="n">
        <f aca="false">AB65*Client_Register!$F$9</f>
        <v>0</v>
      </c>
    </row>
    <row r="67" customFormat="false" ht="15" hidden="false" customHeight="false" outlineLevel="0" collapsed="false">
      <c r="A67" s="68" t="s">
        <v>716</v>
      </c>
      <c r="B67" s="69"/>
      <c r="C67" s="70" t="n">
        <f aca="false">SUM(E67:P67)</f>
        <v>80500</v>
      </c>
      <c r="D67" s="70" t="n">
        <f aca="false">SUM(Q67:AB67)</f>
        <v>128662</v>
      </c>
      <c r="E67" s="70" t="n">
        <f aca="false">E65+E66</f>
        <v>0</v>
      </c>
      <c r="F67" s="70" t="n">
        <f aca="false">F65+F66</f>
        <v>0</v>
      </c>
      <c r="G67" s="70" t="n">
        <f aca="false">G65+G66</f>
        <v>0</v>
      </c>
      <c r="H67" s="70" t="n">
        <f aca="false">H65+H66</f>
        <v>0</v>
      </c>
      <c r="I67" s="70" t="n">
        <f aca="false">I65+I66</f>
        <v>0</v>
      </c>
      <c r="J67" s="70" t="n">
        <f aca="false">J65+J66</f>
        <v>11500</v>
      </c>
      <c r="K67" s="70" t="n">
        <f aca="false">K65+K66</f>
        <v>11500</v>
      </c>
      <c r="L67" s="70" t="n">
        <f aca="false">L65+L66</f>
        <v>11500</v>
      </c>
      <c r="M67" s="70" t="n">
        <f aca="false">M65+M66</f>
        <v>11500</v>
      </c>
      <c r="N67" s="70" t="n">
        <f aca="false">N65+N66</f>
        <v>11500</v>
      </c>
      <c r="O67" s="70" t="n">
        <f aca="false">O65+O66</f>
        <v>11500</v>
      </c>
      <c r="P67" s="70" t="n">
        <f aca="false">P65+P66</f>
        <v>11500</v>
      </c>
      <c r="Q67" s="70" t="n">
        <f aca="false">Q65+Q66</f>
        <v>11500</v>
      </c>
      <c r="R67" s="70" t="n">
        <f aca="false">R65+R66</f>
        <v>11500</v>
      </c>
      <c r="S67" s="70" t="n">
        <f aca="false">S65+S66</f>
        <v>11500</v>
      </c>
      <c r="T67" s="70" t="n">
        <f aca="false">T65+T66</f>
        <v>11500</v>
      </c>
      <c r="U67" s="70" t="n">
        <f aca="false">U65+U66</f>
        <v>11500</v>
      </c>
      <c r="V67" s="70" t="n">
        <f aca="false">V65+V66</f>
        <v>10166</v>
      </c>
      <c r="W67" s="70" t="n">
        <f aca="false">W65+W66</f>
        <v>10166</v>
      </c>
      <c r="X67" s="70" t="n">
        <f aca="false">X65+X66</f>
        <v>10166</v>
      </c>
      <c r="Y67" s="70" t="n">
        <f aca="false">Y65+Y66</f>
        <v>10166</v>
      </c>
      <c r="Z67" s="70" t="n">
        <f aca="false">Z65+Z66</f>
        <v>10166</v>
      </c>
      <c r="AA67" s="70" t="n">
        <f aca="false">AA65+AA66</f>
        <v>10166</v>
      </c>
      <c r="AB67" s="70" t="n">
        <f aca="false">AB65+AB66</f>
        <v>10166</v>
      </c>
    </row>
    <row r="68" customFormat="false" ht="15" hidden="false" customHeight="false" outlineLevel="0" collapsed="false">
      <c r="A68" s="28" t="s">
        <v>717</v>
      </c>
      <c r="B68" s="58" t="s">
        <v>718</v>
      </c>
      <c r="C68" s="59" t="n">
        <f aca="false">SUM(E68:P68)</f>
        <v>69000</v>
      </c>
      <c r="D68" s="59" t="n">
        <f aca="false">SUM(Q68:AB68)</f>
        <v>129996</v>
      </c>
      <c r="E68" s="60" t="n">
        <f aca="false">IF(E$5="A",Inputs_Actuals!E115,Client_Register!$T$9+E67-(E67*MIN(1,Client_Register!$J$9/30)+0*MIN(1,MAX(0,(Client_Register!$J$9-30)/30))+0*MIN(1,MAX(0,(Client_Register!$J$9-60)/30))))</f>
        <v>0</v>
      </c>
      <c r="F68" s="60" t="n">
        <f aca="false">IF(F$5="A",Inputs_Actuals!F115,E69+F67-(F67*MIN(1,Client_Register!$J$9/30)+E67*MIN(1,MAX(0,(Client_Register!$J$9-30)/30))+0*MIN(1,MAX(0,(Client_Register!$J$9-60)/30))))</f>
        <v>0</v>
      </c>
      <c r="G68" s="60" t="n">
        <f aca="false">IF(G$5="A",Inputs_Actuals!G115,F69+G67-(G67*MIN(1,Client_Register!$J$9/30)+F67*MIN(1,MAX(0,(Client_Register!$J$9-30)/30))+E67*MIN(1,MAX(0,(Client_Register!$J$9-60)/30))))</f>
        <v>0</v>
      </c>
      <c r="H68" s="60" t="n">
        <f aca="false">IF(H$5="A",Inputs_Actuals!H115,G69+H67-(H67*MIN(1,Client_Register!$J$9/30)+G67*MIN(1,MAX(0,(Client_Register!$J$9-30)/30))+F67*MIN(1,MAX(0,(Client_Register!$J$9-60)/30))))</f>
        <v>0</v>
      </c>
      <c r="I68" s="60" t="n">
        <f aca="false">IF(I$5="A",Inputs_Actuals!I115,H69+I67-(I67*MIN(1,Client_Register!$J$9/30)+H67*MIN(1,MAX(0,(Client_Register!$J$9-30)/30))+G67*MIN(1,MAX(0,(Client_Register!$J$9-60)/30))))</f>
        <v>0</v>
      </c>
      <c r="J68" s="60" t="n">
        <f aca="false">IF(J$5="A",Inputs_Actuals!J115,I69+J67-(J67*MIN(1,Client_Register!$J$9/30)+I67*MIN(1,MAX(0,(Client_Register!$J$9-30)/30))+H67*MIN(1,MAX(0,(Client_Register!$J$9-60)/30))))</f>
        <v>-276.45</v>
      </c>
      <c r="K68" s="60" t="n">
        <f aca="false">IF(K$5="A",Inputs_Actuals!K115,J69+K67-(K67*MIN(1,Client_Register!$J$9/30)+J67*MIN(1,MAX(0,(Client_Register!$J$9-30)/30))+I67*MIN(1,MAX(0,(Client_Register!$J$9-60)/30))))</f>
        <v>12029.94</v>
      </c>
      <c r="L68" s="60" t="n">
        <f aca="false">IF(L$5="A",Inputs_Actuals!L115,K69+L67-(L67*MIN(1,Client_Register!$J$9/30)+K67*MIN(1,MAX(0,(Client_Register!$J$9-30)/30))+J67*MIN(1,MAX(0,(Client_Register!$J$9-60)/30))))</f>
        <v>10077.43</v>
      </c>
      <c r="M68" s="60" t="n">
        <f aca="false">IF(M$5="A",Inputs_Actuals!M115,L69+M67-(M67*MIN(1,Client_Register!$J$9/30)+L67*MIN(1,MAX(0,(Client_Register!$J$9-30)/30))+K67*MIN(1,MAX(0,(Client_Register!$J$9-60)/30))))</f>
        <v>12669.08</v>
      </c>
      <c r="N68" s="60" t="n">
        <f aca="false">IF(N$5="A",Inputs_Actuals!N115,M69+N67-(N67*MIN(1,Client_Register!$J$9/30)+M67*MIN(1,MAX(0,(Client_Register!$J$9-30)/30))+L67*MIN(1,MAX(0,(Client_Register!$J$9-60)/30))))</f>
        <v>11500</v>
      </c>
      <c r="O68" s="60" t="n">
        <f aca="false">IF(O$5="A",Inputs_Actuals!O115,N69+O67-(O67*MIN(1,Client_Register!$J$9/30)+N67*MIN(1,MAX(0,(Client_Register!$J$9-30)/30))+M67*MIN(1,MAX(0,(Client_Register!$J$9-60)/30))))</f>
        <v>11500</v>
      </c>
      <c r="P68" s="60" t="n">
        <f aca="false">IF(P$5="A",Inputs_Actuals!P115,O69+P67-(P67*MIN(1,Client_Register!$J$9/30)+O67*MIN(1,MAX(0,(Client_Register!$J$9-30)/30))+N67*MIN(1,MAX(0,(Client_Register!$J$9-60)/30))))</f>
        <v>11500</v>
      </c>
      <c r="Q68" s="60" t="n">
        <f aca="false">IF(Q$5="A",Inputs_Actuals!Q115,P69+Q67-(Q67*MIN(1,Client_Register!$J$9/30)+P67*MIN(1,MAX(0,(Client_Register!$J$9-30)/30))+O67*MIN(1,MAX(0,(Client_Register!$J$9-60)/30))))</f>
        <v>11500</v>
      </c>
      <c r="R68" s="60" t="n">
        <f aca="false">IF(R$5="A",Inputs_Actuals!R115,Q69+R67-(R67*MIN(1,Client_Register!$J$9/30)+Q67*MIN(1,MAX(0,(Client_Register!$J$9-30)/30))+P67*MIN(1,MAX(0,(Client_Register!$J$9-60)/30))))</f>
        <v>11500</v>
      </c>
      <c r="S68" s="60" t="n">
        <f aca="false">IF(S$5="A",Inputs_Actuals!S115,R69+S67-(S67*MIN(1,Client_Register!$J$9/30)+R67*MIN(1,MAX(0,(Client_Register!$J$9-30)/30))+Q67*MIN(1,MAX(0,(Client_Register!$J$9-60)/30))))</f>
        <v>11500</v>
      </c>
      <c r="T68" s="60" t="n">
        <f aca="false">IF(T$5="A",Inputs_Actuals!T115,S69+T67-(T67*MIN(1,Client_Register!$J$9/30)+S67*MIN(1,MAX(0,(Client_Register!$J$9-30)/30))+R67*MIN(1,MAX(0,(Client_Register!$J$9-60)/30))))</f>
        <v>11500</v>
      </c>
      <c r="U68" s="60" t="n">
        <f aca="false">IF(U$5="A",Inputs_Actuals!U115,T69+U67-(U67*MIN(1,Client_Register!$J$9/30)+T67*MIN(1,MAX(0,(Client_Register!$J$9-30)/30))+S67*MIN(1,MAX(0,(Client_Register!$J$9-60)/30))))</f>
        <v>11500</v>
      </c>
      <c r="V68" s="60" t="n">
        <f aca="false">IF(V$5="A",Inputs_Actuals!V115,U69+V67-(V67*MIN(1,Client_Register!$J$9/30)+U67*MIN(1,MAX(0,(Client_Register!$J$9-30)/30))+T67*MIN(1,MAX(0,(Client_Register!$J$9-60)/30))))</f>
        <v>11500</v>
      </c>
      <c r="W68" s="60" t="n">
        <f aca="false">IF(W$5="A",Inputs_Actuals!W115,V69+W67-(W67*MIN(1,Client_Register!$J$9/30)+V67*MIN(1,MAX(0,(Client_Register!$J$9-30)/30))+U67*MIN(1,MAX(0,(Client_Register!$J$9-60)/30))))</f>
        <v>10166</v>
      </c>
      <c r="X68" s="60" t="n">
        <f aca="false">IF(X$5="A",Inputs_Actuals!X115,W69+X67-(X67*MIN(1,Client_Register!$J$9/30)+W67*MIN(1,MAX(0,(Client_Register!$J$9-30)/30))+V67*MIN(1,MAX(0,(Client_Register!$J$9-60)/30))))</f>
        <v>10166</v>
      </c>
      <c r="Y68" s="60" t="n">
        <f aca="false">IF(Y$5="A",Inputs_Actuals!Y115,X69+Y67-(Y67*MIN(1,Client_Register!$J$9/30)+X67*MIN(1,MAX(0,(Client_Register!$J$9-30)/30))+W67*MIN(1,MAX(0,(Client_Register!$J$9-60)/30))))</f>
        <v>10166</v>
      </c>
      <c r="Z68" s="60" t="n">
        <f aca="false">IF(Z$5="A",Inputs_Actuals!Z115,Y69+Z67-(Z67*MIN(1,Client_Register!$J$9/30)+Y67*MIN(1,MAX(0,(Client_Register!$J$9-30)/30))+X67*MIN(1,MAX(0,(Client_Register!$J$9-60)/30))))</f>
        <v>10166</v>
      </c>
      <c r="AA68" s="60" t="n">
        <f aca="false">IF(AA$5="A",Inputs_Actuals!AA115,Z69+AA67-(AA67*MIN(1,Client_Register!$J$9/30)+Z67*MIN(1,MAX(0,(Client_Register!$J$9-30)/30))+Y67*MIN(1,MAX(0,(Client_Register!$J$9-60)/30))))</f>
        <v>10166</v>
      </c>
      <c r="AB68" s="60" t="n">
        <f aca="false">IF(AB$5="A",Inputs_Actuals!AB115,AA69+AB67-(AB67*MIN(1,Client_Register!$J$9/30)+AA67*MIN(1,MAX(0,(Client_Register!$J$9-30)/30))+Z67*MIN(1,MAX(0,(Client_Register!$J$9-60)/30))))</f>
        <v>10166</v>
      </c>
    </row>
    <row r="69" customFormat="false" ht="15" hidden="false" customHeight="false" outlineLevel="0" collapsed="false">
      <c r="A69" s="68" t="s">
        <v>719</v>
      </c>
      <c r="B69" s="69" t="s">
        <v>720</v>
      </c>
      <c r="C69" s="70" t="n">
        <f aca="false">P69</f>
        <v>11500</v>
      </c>
      <c r="D69" s="70" t="n">
        <f aca="false">AB69</f>
        <v>10166</v>
      </c>
      <c r="E69" s="74" t="n">
        <f aca="false">Client_Register!$T$9+E67-E68</f>
        <v>0</v>
      </c>
      <c r="F69" s="70" t="n">
        <f aca="false">E69+F67-F68</f>
        <v>0</v>
      </c>
      <c r="G69" s="70" t="n">
        <f aca="false">F69+G67-G68</f>
        <v>0</v>
      </c>
      <c r="H69" s="70" t="n">
        <f aca="false">G69+H67-H68</f>
        <v>0</v>
      </c>
      <c r="I69" s="70" t="n">
        <f aca="false">H69+I67-I68</f>
        <v>0</v>
      </c>
      <c r="J69" s="70" t="n">
        <f aca="false">I69+J67-J68</f>
        <v>11776.45</v>
      </c>
      <c r="K69" s="70" t="n">
        <f aca="false">J69+K67-K68</f>
        <v>11246.51</v>
      </c>
      <c r="L69" s="70" t="n">
        <f aca="false">K69+L67-L68</f>
        <v>12669.08</v>
      </c>
      <c r="M69" s="70" t="n">
        <f aca="false">L69+M67-M68</f>
        <v>11500</v>
      </c>
      <c r="N69" s="70" t="n">
        <f aca="false">M69+N67-N68</f>
        <v>11500</v>
      </c>
      <c r="O69" s="70" t="n">
        <f aca="false">N69+O67-O68</f>
        <v>11500</v>
      </c>
      <c r="P69" s="70" t="n">
        <f aca="false">O69+P67-P68</f>
        <v>11500</v>
      </c>
      <c r="Q69" s="70" t="n">
        <f aca="false">P69+Q67-Q68</f>
        <v>11500</v>
      </c>
      <c r="R69" s="70" t="n">
        <f aca="false">Q69+R67-R68</f>
        <v>11500</v>
      </c>
      <c r="S69" s="70" t="n">
        <f aca="false">R69+S67-S68</f>
        <v>11500</v>
      </c>
      <c r="T69" s="70" t="n">
        <f aca="false">S69+T67-T68</f>
        <v>11500</v>
      </c>
      <c r="U69" s="70" t="n">
        <f aca="false">T69+U67-U68</f>
        <v>11500</v>
      </c>
      <c r="V69" s="70" t="n">
        <f aca="false">U69+V67-V68</f>
        <v>10166</v>
      </c>
      <c r="W69" s="70" t="n">
        <f aca="false">V69+W67-W68</f>
        <v>10166</v>
      </c>
      <c r="X69" s="70" t="n">
        <f aca="false">W69+X67-X68</f>
        <v>10166</v>
      </c>
      <c r="Y69" s="70" t="n">
        <f aca="false">X69+Y67-Y68</f>
        <v>10166</v>
      </c>
      <c r="Z69" s="70" t="n">
        <f aca="false">Y69+Z67-Z68</f>
        <v>10166</v>
      </c>
      <c r="AA69" s="70" t="n">
        <f aca="false">Z69+AA67-AA68</f>
        <v>10166</v>
      </c>
      <c r="AB69" s="70" t="n">
        <f aca="false">AA69+AB67-AB68</f>
        <v>10166</v>
      </c>
    </row>
    <row r="70" customFormat="false" ht="15" hidden="false" customHeight="false" outlineLevel="0" collapsed="false">
      <c r="A70" s="28" t="s">
        <v>721</v>
      </c>
      <c r="B70" s="58" t="s">
        <v>722</v>
      </c>
      <c r="C70" s="59" t="n">
        <f aca="false">P70</f>
        <v>0</v>
      </c>
      <c r="D70" s="59" t="n">
        <f aca="false">AB70</f>
        <v>0</v>
      </c>
      <c r="E70" s="60" t="n">
        <f aca="false">Client_Register!$U$9+E58-(E65-E64)</f>
        <v>0</v>
      </c>
      <c r="F70" s="71" t="n">
        <f aca="false">E70+F58-(F65-F64)</f>
        <v>0</v>
      </c>
      <c r="G70" s="71" t="n">
        <f aca="false">F70+G58-(G65-G64)</f>
        <v>0</v>
      </c>
      <c r="H70" s="71" t="n">
        <f aca="false">G70+H58-(H65-H64)</f>
        <v>0</v>
      </c>
      <c r="I70" s="71" t="n">
        <f aca="false">H70+I58-(I65-I64)</f>
        <v>0</v>
      </c>
      <c r="J70" s="71" t="n">
        <f aca="false">I70+J58-(J65-J64)</f>
        <v>0</v>
      </c>
      <c r="K70" s="71" t="n">
        <f aca="false">J70+K58-(K65-K64)</f>
        <v>0</v>
      </c>
      <c r="L70" s="71" t="n">
        <f aca="false">K70+L58-(L65-L64)</f>
        <v>0</v>
      </c>
      <c r="M70" s="71" t="n">
        <f aca="false">L70+M58-(M65-M64)</f>
        <v>0</v>
      </c>
      <c r="N70" s="71" t="n">
        <f aca="false">M70+N58-(N65-N64)</f>
        <v>0</v>
      </c>
      <c r="O70" s="71" t="n">
        <f aca="false">N70+O58-(O65-O64)</f>
        <v>0</v>
      </c>
      <c r="P70" s="71" t="n">
        <f aca="false">O70+P58-(P65-P64)</f>
        <v>0</v>
      </c>
      <c r="Q70" s="71" t="n">
        <f aca="false">P70+Q58-(Q65-Q64)</f>
        <v>0</v>
      </c>
      <c r="R70" s="71" t="n">
        <f aca="false">Q70+R58-(R65-R64)</f>
        <v>0</v>
      </c>
      <c r="S70" s="71" t="n">
        <f aca="false">R70+S58-(S65-S64)</f>
        <v>0</v>
      </c>
      <c r="T70" s="71" t="n">
        <f aca="false">S70+T58-(T65-T64)</f>
        <v>0</v>
      </c>
      <c r="U70" s="71" t="n">
        <f aca="false">T70+U58-(U65-U64)</f>
        <v>0</v>
      </c>
      <c r="V70" s="71" t="n">
        <f aca="false">U70+V58-(V65-V64)</f>
        <v>0</v>
      </c>
      <c r="W70" s="71" t="n">
        <f aca="false">V70+W58-(W65-W64)</f>
        <v>0</v>
      </c>
      <c r="X70" s="71" t="n">
        <f aca="false">W70+X58-(X65-X64)</f>
        <v>0</v>
      </c>
      <c r="Y70" s="71" t="n">
        <f aca="false">X70+Y58-(Y65-Y64)</f>
        <v>0</v>
      </c>
      <c r="Z70" s="71" t="n">
        <f aca="false">Y70+Z58-(Z65-Z64)</f>
        <v>0</v>
      </c>
      <c r="AA70" s="71" t="n">
        <f aca="false">Z70+AA58-(AA65-AA64)</f>
        <v>0</v>
      </c>
      <c r="AB70" s="71" t="n">
        <f aca="false">AA70+AB58-(AB65-AB64)</f>
        <v>0</v>
      </c>
    </row>
    <row r="71" customFormat="false" ht="15" hidden="false" customHeight="false" outlineLevel="0" collapsed="false">
      <c r="A71" s="28" t="s">
        <v>723</v>
      </c>
      <c r="B71" s="58"/>
      <c r="C71" s="59" t="n">
        <f aca="false">P71</f>
        <v>13427.050252195</v>
      </c>
      <c r="D71" s="59" t="n">
        <f aca="false">AB71</f>
        <v>11869.5124229404</v>
      </c>
      <c r="E71" s="60" t="n">
        <f aca="false">E69/FX!E10</f>
        <v>0</v>
      </c>
      <c r="F71" s="60" t="n">
        <f aca="false">F69/FX!F10</f>
        <v>0</v>
      </c>
      <c r="G71" s="60" t="n">
        <f aca="false">G69/FX!G10</f>
        <v>0</v>
      </c>
      <c r="H71" s="60" t="n">
        <f aca="false">H69/FX!H10</f>
        <v>0</v>
      </c>
      <c r="I71" s="60" t="n">
        <f aca="false">I69/FX!I10</f>
        <v>0</v>
      </c>
      <c r="J71" s="60" t="n">
        <f aca="false">J69/FX!J10</f>
        <v>13665.2625960222</v>
      </c>
      <c r="K71" s="60" t="n">
        <f aca="false">K69/FX!K10</f>
        <v>13142.5917053276</v>
      </c>
      <c r="L71" s="60" t="n">
        <f aca="false">L69/FX!L10</f>
        <v>14792.0325051373</v>
      </c>
      <c r="M71" s="60" t="n">
        <f aca="false">M69/FX!M10</f>
        <v>13427.050252195</v>
      </c>
      <c r="N71" s="60" t="n">
        <f aca="false">N69/FX!N10</f>
        <v>13427.050252195</v>
      </c>
      <c r="O71" s="60" t="n">
        <f aca="false">O69/FX!O10</f>
        <v>13427.050252195</v>
      </c>
      <c r="P71" s="60" t="n">
        <f aca="false">P69/FX!P10</f>
        <v>13427.050252195</v>
      </c>
      <c r="Q71" s="60" t="n">
        <f aca="false">Q69/FX!Q10</f>
        <v>13427.050252195</v>
      </c>
      <c r="R71" s="60" t="n">
        <f aca="false">R69/FX!R10</f>
        <v>13427.050252195</v>
      </c>
      <c r="S71" s="60" t="n">
        <f aca="false">S69/FX!S10</f>
        <v>13427.050252195</v>
      </c>
      <c r="T71" s="60" t="n">
        <f aca="false">T69/FX!T10</f>
        <v>13427.050252195</v>
      </c>
      <c r="U71" s="60" t="n">
        <f aca="false">U69/FX!U10</f>
        <v>13427.050252195</v>
      </c>
      <c r="V71" s="60" t="n">
        <f aca="false">V69/FX!V10</f>
        <v>11869.5124229404</v>
      </c>
      <c r="W71" s="60" t="n">
        <f aca="false">W69/FX!W10</f>
        <v>11869.5124229404</v>
      </c>
      <c r="X71" s="60" t="n">
        <f aca="false">X69/FX!X10</f>
        <v>11869.5124229404</v>
      </c>
      <c r="Y71" s="60" t="n">
        <f aca="false">Y69/FX!Y10</f>
        <v>11869.5124229404</v>
      </c>
      <c r="Z71" s="60" t="n">
        <f aca="false">Z69/FX!Z10</f>
        <v>11869.5124229404</v>
      </c>
      <c r="AA71" s="60" t="n">
        <f aca="false">AA69/FX!AA10</f>
        <v>11869.5124229404</v>
      </c>
      <c r="AB71" s="60" t="n">
        <f aca="false">AB69/FX!AB10</f>
        <v>11869.5124229404</v>
      </c>
    </row>
    <row r="72" customFormat="false" ht="15" hidden="false" customHeight="false" outlineLevel="0" collapsed="false">
      <c r="A72" s="28" t="s">
        <v>724</v>
      </c>
      <c r="B72" s="58"/>
      <c r="C72" s="66" t="n">
        <f aca="false">P72</f>
        <v>30.4</v>
      </c>
      <c r="D72" s="66" t="n">
        <f aca="false">AB72</f>
        <v>30.4</v>
      </c>
      <c r="E72" s="72" t="n">
        <f aca="false">IFERROR(E69/AVERAGE(E67:E67)*30.4,0)</f>
        <v>0</v>
      </c>
      <c r="F72" s="72" t="n">
        <f aca="false">IFERROR(F69/AVERAGE(E67:F67)*30.4,0)</f>
        <v>0</v>
      </c>
      <c r="G72" s="72" t="n">
        <f aca="false">IFERROR(G69/AVERAGE(E67:G67)*30.4,0)</f>
        <v>0</v>
      </c>
      <c r="H72" s="72" t="n">
        <f aca="false">IFERROR(H69/AVERAGE(F67:H67)*30.4,0)</f>
        <v>0</v>
      </c>
      <c r="I72" s="72" t="n">
        <f aca="false">IFERROR(I69/AVERAGE(G67:I67)*30.4,0)</f>
        <v>0</v>
      </c>
      <c r="J72" s="72" t="n">
        <f aca="false">IFERROR(J69/AVERAGE(H67:J67)*30.4,0)</f>
        <v>93.3923686956522</v>
      </c>
      <c r="K72" s="72" t="n">
        <f aca="false">IFERROR(K69/AVERAGE(I67:K67)*30.4,0)</f>
        <v>44.5948570434783</v>
      </c>
      <c r="L72" s="72" t="n">
        <f aca="false">IFERROR(L69/AVERAGE(J67:L67)*30.4,0)</f>
        <v>33.4904375652174</v>
      </c>
      <c r="M72" s="72" t="n">
        <f aca="false">IFERROR(M69/AVERAGE(K67:M67)*30.4,0)</f>
        <v>30.4</v>
      </c>
      <c r="N72" s="72" t="n">
        <f aca="false">IFERROR(N69/AVERAGE(L67:N67)*30.4,0)</f>
        <v>30.4</v>
      </c>
      <c r="O72" s="72" t="n">
        <f aca="false">IFERROR(O69/AVERAGE(M67:O67)*30.4,0)</f>
        <v>30.4</v>
      </c>
      <c r="P72" s="72" t="n">
        <f aca="false">IFERROR(P69/AVERAGE(N67:P67)*30.4,0)</f>
        <v>30.4</v>
      </c>
      <c r="Q72" s="72" t="n">
        <f aca="false">IFERROR(Q69/AVERAGE(O67:Q67)*30.4,0)</f>
        <v>30.4</v>
      </c>
      <c r="R72" s="72" t="n">
        <f aca="false">IFERROR(R69/AVERAGE(P67:R67)*30.4,0)</f>
        <v>30.4</v>
      </c>
      <c r="S72" s="72" t="n">
        <f aca="false">IFERROR(S69/AVERAGE(Q67:S67)*30.4,0)</f>
        <v>30.4</v>
      </c>
      <c r="T72" s="72" t="n">
        <f aca="false">IFERROR(T69/AVERAGE(R67:T67)*30.4,0)</f>
        <v>30.4</v>
      </c>
      <c r="U72" s="72" t="n">
        <f aca="false">IFERROR(U69/AVERAGE(S67:U67)*30.4,0)</f>
        <v>30.4</v>
      </c>
      <c r="V72" s="72" t="n">
        <f aca="false">IFERROR(V69/AVERAGE(T67:V67)*30.4,0)</f>
        <v>27.954507628294</v>
      </c>
      <c r="W72" s="72" t="n">
        <f aca="false">IFERROR(W69/AVERAGE(U67:W67)*30.4,0)</f>
        <v>29.1260115606936</v>
      </c>
      <c r="X72" s="72" t="n">
        <f aca="false">IFERROR(X69/AVERAGE(V67:X67)*30.4,0)</f>
        <v>30.4</v>
      </c>
      <c r="Y72" s="72" t="n">
        <f aca="false">IFERROR(Y69/AVERAGE(W67:Y67)*30.4,0)</f>
        <v>30.4</v>
      </c>
      <c r="Z72" s="72" t="n">
        <f aca="false">IFERROR(Z69/AVERAGE(X67:Z67)*30.4,0)</f>
        <v>30.4</v>
      </c>
      <c r="AA72" s="72" t="n">
        <f aca="false">IFERROR(AA69/AVERAGE(Y67:AA67)*30.4,0)</f>
        <v>30.4</v>
      </c>
      <c r="AB72" s="72" t="n">
        <f aca="false">IFERROR(AB69/AVERAGE(Z67:AB67)*30.4,0)</f>
        <v>30.4</v>
      </c>
    </row>
    <row r="74" customFormat="false" ht="15" hidden="false" customHeight="false" outlineLevel="0" collapsed="false">
      <c r="A74" s="22" t="s">
        <v>727</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row>
    <row r="75" customFormat="false" ht="15" hidden="false" customHeight="false" outlineLevel="0" collapsed="false">
      <c r="A75" s="28" t="s">
        <v>331</v>
      </c>
      <c r="B75" s="58" t="s">
        <v>49</v>
      </c>
      <c r="C75" s="59" t="n">
        <f aca="false">SUM(E75:P75)</f>
        <v>0</v>
      </c>
      <c r="D75" s="59" t="n">
        <f aca="false">SUM(Q75:AB75)</f>
        <v>0</v>
      </c>
      <c r="E75" s="71" t="n">
        <f aca="false">0</f>
        <v>0</v>
      </c>
      <c r="F75" s="71" t="n">
        <f aca="false">0</f>
        <v>0</v>
      </c>
      <c r="G75" s="71" t="n">
        <f aca="false">0</f>
        <v>0</v>
      </c>
      <c r="H75" s="71" t="n">
        <f aca="false">0</f>
        <v>0</v>
      </c>
      <c r="I75" s="71" t="n">
        <f aca="false">0</f>
        <v>0</v>
      </c>
      <c r="J75" s="71" t="n">
        <f aca="false">0</f>
        <v>0</v>
      </c>
      <c r="K75" s="71" t="n">
        <f aca="false">0</f>
        <v>0</v>
      </c>
      <c r="L75" s="71" t="n">
        <f aca="false">0</f>
        <v>0</v>
      </c>
      <c r="M75" s="71" t="n">
        <f aca="false">0</f>
        <v>0</v>
      </c>
      <c r="N75" s="71" t="n">
        <f aca="false">0</f>
        <v>0</v>
      </c>
      <c r="O75" s="71" t="n">
        <f aca="false">0</f>
        <v>0</v>
      </c>
      <c r="P75" s="71" t="n">
        <f aca="false">0</f>
        <v>0</v>
      </c>
      <c r="Q75" s="71" t="n">
        <f aca="false">0</f>
        <v>0</v>
      </c>
      <c r="R75" s="71" t="n">
        <f aca="false">0</f>
        <v>0</v>
      </c>
      <c r="S75" s="71" t="n">
        <f aca="false">0</f>
        <v>0</v>
      </c>
      <c r="T75" s="71" t="n">
        <f aca="false">0</f>
        <v>0</v>
      </c>
      <c r="U75" s="71" t="n">
        <f aca="false">0</f>
        <v>0</v>
      </c>
      <c r="V75" s="71" t="n">
        <f aca="false">0</f>
        <v>0</v>
      </c>
      <c r="W75" s="71" t="n">
        <f aca="false">0</f>
        <v>0</v>
      </c>
      <c r="X75" s="71" t="n">
        <f aca="false">0</f>
        <v>0</v>
      </c>
      <c r="Y75" s="71" t="n">
        <f aca="false">0</f>
        <v>0</v>
      </c>
      <c r="Z75" s="71" t="n">
        <f aca="false">0</f>
        <v>0</v>
      </c>
      <c r="AA75" s="71" t="n">
        <f aca="false">0</f>
        <v>0</v>
      </c>
      <c r="AB75" s="71" t="n">
        <f aca="false">0</f>
        <v>0</v>
      </c>
    </row>
    <row r="76" customFormat="false" ht="15" hidden="false" customHeight="false" outlineLevel="0" collapsed="false">
      <c r="A76" s="28" t="s">
        <v>700</v>
      </c>
      <c r="B76" s="58" t="s">
        <v>51</v>
      </c>
      <c r="C76" s="59" t="n">
        <f aca="false">SUM(E76:P76)</f>
        <v>0</v>
      </c>
      <c r="D76" s="59" t="n">
        <f aca="false">SUM(Q76:AB76)</f>
        <v>0</v>
      </c>
      <c r="E76" s="71" t="n">
        <f aca="false">0</f>
        <v>0</v>
      </c>
      <c r="F76" s="71" t="n">
        <f aca="false">0</f>
        <v>0</v>
      </c>
      <c r="G76" s="71" t="n">
        <f aca="false">0</f>
        <v>0</v>
      </c>
      <c r="H76" s="71" t="n">
        <f aca="false">0</f>
        <v>0</v>
      </c>
      <c r="I76" s="71" t="n">
        <f aca="false">0</f>
        <v>0</v>
      </c>
      <c r="J76" s="71" t="n">
        <f aca="false">0</f>
        <v>0</v>
      </c>
      <c r="K76" s="71" t="n">
        <f aca="false">0</f>
        <v>0</v>
      </c>
      <c r="L76" s="71" t="n">
        <f aca="false">0</f>
        <v>0</v>
      </c>
      <c r="M76" s="71" t="n">
        <f aca="false">0</f>
        <v>0</v>
      </c>
      <c r="N76" s="71" t="n">
        <f aca="false">0</f>
        <v>0</v>
      </c>
      <c r="O76" s="71" t="n">
        <f aca="false">0</f>
        <v>0</v>
      </c>
      <c r="P76" s="71" t="n">
        <f aca="false">0</f>
        <v>0</v>
      </c>
      <c r="Q76" s="71" t="n">
        <f aca="false">0</f>
        <v>0</v>
      </c>
      <c r="R76" s="71" t="n">
        <f aca="false">0</f>
        <v>0</v>
      </c>
      <c r="S76" s="71" t="n">
        <f aca="false">0</f>
        <v>0</v>
      </c>
      <c r="T76" s="71" t="n">
        <f aca="false">0</f>
        <v>0</v>
      </c>
      <c r="U76" s="71" t="n">
        <f aca="false">0</f>
        <v>0</v>
      </c>
      <c r="V76" s="71" t="n">
        <f aca="false">0</f>
        <v>0</v>
      </c>
      <c r="W76" s="71" t="n">
        <f aca="false">0</f>
        <v>0</v>
      </c>
      <c r="X76" s="71" t="n">
        <f aca="false">0</f>
        <v>0</v>
      </c>
      <c r="Y76" s="71" t="n">
        <f aca="false">0</f>
        <v>0</v>
      </c>
      <c r="Z76" s="71" t="n">
        <f aca="false">0</f>
        <v>0</v>
      </c>
      <c r="AA76" s="71" t="n">
        <f aca="false">0</f>
        <v>0</v>
      </c>
      <c r="AB76" s="71" t="n">
        <f aca="false">0</f>
        <v>0</v>
      </c>
    </row>
    <row r="77" customFormat="false" ht="15" hidden="false" customHeight="false" outlineLevel="0" collapsed="false">
      <c r="A77" s="28" t="s">
        <v>333</v>
      </c>
      <c r="B77" s="58" t="s">
        <v>53</v>
      </c>
      <c r="C77" s="59" t="n">
        <f aca="false">SUM(E77:P77)</f>
        <v>212360.414146702</v>
      </c>
      <c r="D77" s="59" t="n">
        <f aca="false">SUM(Q77:AB77)</f>
        <v>221046.030865851</v>
      </c>
      <c r="E77" s="60" t="n">
        <f aca="false">TM_Media!E12</f>
        <v>20552.13</v>
      </c>
      <c r="F77" s="60" t="n">
        <f aca="false">TM_Media!F12</f>
        <v>18117.63</v>
      </c>
      <c r="G77" s="60" t="n">
        <f aca="false">TM_Media!G12</f>
        <v>18587.41</v>
      </c>
      <c r="H77" s="60" t="n">
        <f aca="false">TM_Media!H12</f>
        <v>14873.54</v>
      </c>
      <c r="I77" s="60" t="n">
        <f aca="false">TM_Media!I12</f>
        <v>16332.79</v>
      </c>
      <c r="J77" s="60" t="n">
        <f aca="false">TM_Media!J12</f>
        <v>17728.04</v>
      </c>
      <c r="K77" s="60" t="n">
        <f aca="false">TM_Media!K12</f>
        <v>13661.98</v>
      </c>
      <c r="L77" s="60" t="n">
        <f aca="false">TM_Media!L12</f>
        <v>19620.6</v>
      </c>
      <c r="M77" s="60" t="n">
        <f aca="false">TM_Media!M12</f>
        <v>19322.2054952667</v>
      </c>
      <c r="N77" s="60" t="n">
        <f aca="false">TM_Media!N12</f>
        <v>20055.9601343274</v>
      </c>
      <c r="O77" s="60" t="n">
        <f aca="false">TM_Media!O12</f>
        <v>18588.4508562059</v>
      </c>
      <c r="P77" s="60" t="n">
        <f aca="false">TM_Media!P12</f>
        <v>14919.6776609021</v>
      </c>
      <c r="Q77" s="60" t="n">
        <f aca="false">TM_Media!Q12</f>
        <v>19331.9888904542</v>
      </c>
      <c r="R77" s="60" t="n">
        <f aca="false">TM_Media!R12</f>
        <v>18568.884065831</v>
      </c>
      <c r="S77" s="60" t="n">
        <f aca="false">TM_Media!S12</f>
        <v>20095.0937150773</v>
      </c>
      <c r="T77" s="60" t="n">
        <f aca="false">TM_Media!T12</f>
        <v>19077.6206155798</v>
      </c>
      <c r="U77" s="60" t="n">
        <f aca="false">TM_Media!U12</f>
        <v>19077.6206155798</v>
      </c>
      <c r="V77" s="60" t="n">
        <f aca="false">TM_Media!V12</f>
        <v>17551.4109663334</v>
      </c>
      <c r="W77" s="60" t="n">
        <f aca="false">TM_Media!W12</f>
        <v>14244.6233929662</v>
      </c>
      <c r="X77" s="60" t="n">
        <f aca="false">TM_Media!X12</f>
        <v>17297.042691459</v>
      </c>
      <c r="Y77" s="60" t="n">
        <f aca="false">TM_Media!Y12</f>
        <v>20095.0937150773</v>
      </c>
      <c r="Z77" s="60" t="n">
        <f aca="false">TM_Media!Z12</f>
        <v>20858.1985397005</v>
      </c>
      <c r="AA77" s="60" t="n">
        <f aca="false">TM_Media!AA12</f>
        <v>19331.9888904542</v>
      </c>
      <c r="AB77" s="60" t="n">
        <f aca="false">TM_Media!AB12</f>
        <v>15516.4647673382</v>
      </c>
    </row>
    <row r="78" customFormat="false" ht="15" hidden="false" customHeight="false" outlineLevel="0" collapsed="false">
      <c r="A78" s="28" t="s">
        <v>334</v>
      </c>
      <c r="B78" s="58" t="s">
        <v>53</v>
      </c>
      <c r="C78" s="59" t="n">
        <f aca="false">SUM(E78:P78)</f>
        <v>0</v>
      </c>
      <c r="D78" s="59" t="n">
        <f aca="false">SUM(Q78:AB78)</f>
        <v>0</v>
      </c>
      <c r="E78" s="71" t="n">
        <f aca="false">0</f>
        <v>0</v>
      </c>
      <c r="F78" s="71" t="n">
        <f aca="false">0</f>
        <v>0</v>
      </c>
      <c r="G78" s="71" t="n">
        <f aca="false">0</f>
        <v>0</v>
      </c>
      <c r="H78" s="71" t="n">
        <f aca="false">0</f>
        <v>0</v>
      </c>
      <c r="I78" s="71" t="n">
        <f aca="false">0</f>
        <v>0</v>
      </c>
      <c r="J78" s="71" t="n">
        <f aca="false">0</f>
        <v>0</v>
      </c>
      <c r="K78" s="71" t="n">
        <f aca="false">0</f>
        <v>0</v>
      </c>
      <c r="L78" s="71" t="n">
        <f aca="false">0</f>
        <v>0</v>
      </c>
      <c r="M78" s="71" t="n">
        <f aca="false">0</f>
        <v>0</v>
      </c>
      <c r="N78" s="71" t="n">
        <f aca="false">0</f>
        <v>0</v>
      </c>
      <c r="O78" s="71" t="n">
        <f aca="false">0</f>
        <v>0</v>
      </c>
      <c r="P78" s="71" t="n">
        <f aca="false">0</f>
        <v>0</v>
      </c>
      <c r="Q78" s="71" t="n">
        <f aca="false">0</f>
        <v>0</v>
      </c>
      <c r="R78" s="71" t="n">
        <f aca="false">0</f>
        <v>0</v>
      </c>
      <c r="S78" s="71" t="n">
        <f aca="false">0</f>
        <v>0</v>
      </c>
      <c r="T78" s="71" t="n">
        <f aca="false">0</f>
        <v>0</v>
      </c>
      <c r="U78" s="71" t="n">
        <f aca="false">0</f>
        <v>0</v>
      </c>
      <c r="V78" s="71" t="n">
        <f aca="false">0</f>
        <v>0</v>
      </c>
      <c r="W78" s="71" t="n">
        <f aca="false">0</f>
        <v>0</v>
      </c>
      <c r="X78" s="71" t="n">
        <f aca="false">0</f>
        <v>0</v>
      </c>
      <c r="Y78" s="71" t="n">
        <f aca="false">0</f>
        <v>0</v>
      </c>
      <c r="Z78" s="71" t="n">
        <f aca="false">0</f>
        <v>0</v>
      </c>
      <c r="AA78" s="71" t="n">
        <f aca="false">0</f>
        <v>0</v>
      </c>
      <c r="AB78" s="71" t="n">
        <f aca="false">0</f>
        <v>0</v>
      </c>
    </row>
    <row r="79" customFormat="false" ht="15" hidden="false" customHeight="false" outlineLevel="0" collapsed="false">
      <c r="A79" s="28" t="s">
        <v>701</v>
      </c>
      <c r="B79" s="58" t="s">
        <v>51</v>
      </c>
      <c r="C79" s="59" t="n">
        <f aca="false">SUM(E79:P79)</f>
        <v>0</v>
      </c>
      <c r="D79" s="59" t="n">
        <f aca="false">SUM(Q79:AB79)</f>
        <v>0</v>
      </c>
      <c r="E79" s="71" t="n">
        <f aca="false">0</f>
        <v>0</v>
      </c>
      <c r="F79" s="71" t="n">
        <f aca="false">0</f>
        <v>0</v>
      </c>
      <c r="G79" s="71" t="n">
        <f aca="false">0</f>
        <v>0</v>
      </c>
      <c r="H79" s="71" t="n">
        <f aca="false">0</f>
        <v>0</v>
      </c>
      <c r="I79" s="71" t="n">
        <f aca="false">0</f>
        <v>0</v>
      </c>
      <c r="J79" s="71" t="n">
        <f aca="false">0</f>
        <v>0</v>
      </c>
      <c r="K79" s="71" t="n">
        <f aca="false">0</f>
        <v>0</v>
      </c>
      <c r="L79" s="71" t="n">
        <f aca="false">0</f>
        <v>0</v>
      </c>
      <c r="M79" s="71" t="n">
        <f aca="false">0</f>
        <v>0</v>
      </c>
      <c r="N79" s="71" t="n">
        <f aca="false">0</f>
        <v>0</v>
      </c>
      <c r="O79" s="71" t="n">
        <f aca="false">0</f>
        <v>0</v>
      </c>
      <c r="P79" s="71" t="n">
        <f aca="false">0</f>
        <v>0</v>
      </c>
      <c r="Q79" s="71" t="n">
        <f aca="false">0</f>
        <v>0</v>
      </c>
      <c r="R79" s="71" t="n">
        <f aca="false">0</f>
        <v>0</v>
      </c>
      <c r="S79" s="71" t="n">
        <f aca="false">0</f>
        <v>0</v>
      </c>
      <c r="T79" s="71" t="n">
        <f aca="false">0</f>
        <v>0</v>
      </c>
      <c r="U79" s="71" t="n">
        <f aca="false">0</f>
        <v>0</v>
      </c>
      <c r="V79" s="71" t="n">
        <f aca="false">0</f>
        <v>0</v>
      </c>
      <c r="W79" s="71" t="n">
        <f aca="false">0</f>
        <v>0</v>
      </c>
      <c r="X79" s="71" t="n">
        <f aca="false">0</f>
        <v>0</v>
      </c>
      <c r="Y79" s="71" t="n">
        <f aca="false">0</f>
        <v>0</v>
      </c>
      <c r="Z79" s="71" t="n">
        <f aca="false">0</f>
        <v>0</v>
      </c>
      <c r="AA79" s="71" t="n">
        <f aca="false">0</f>
        <v>0</v>
      </c>
      <c r="AB79" s="71" t="n">
        <f aca="false">0</f>
        <v>0</v>
      </c>
    </row>
    <row r="80" customFormat="false" ht="15" hidden="false" customHeight="false" outlineLevel="0" collapsed="false">
      <c r="A80" s="68" t="s">
        <v>702</v>
      </c>
      <c r="B80" s="69"/>
      <c r="C80" s="70" t="n">
        <f aca="false">SUM(E80:P80)</f>
        <v>212360.414146702</v>
      </c>
      <c r="D80" s="70" t="n">
        <f aca="false">SUM(Q80:AB80)</f>
        <v>221046.030865851</v>
      </c>
      <c r="E80" s="70" t="n">
        <f aca="false">SUM(E75:E79)</f>
        <v>20552.13</v>
      </c>
      <c r="F80" s="70" t="n">
        <f aca="false">SUM(F75:F79)</f>
        <v>18117.63</v>
      </c>
      <c r="G80" s="70" t="n">
        <f aca="false">SUM(G75:G79)</f>
        <v>18587.41</v>
      </c>
      <c r="H80" s="70" t="n">
        <f aca="false">SUM(H75:H79)</f>
        <v>14873.54</v>
      </c>
      <c r="I80" s="70" t="n">
        <f aca="false">SUM(I75:I79)</f>
        <v>16332.79</v>
      </c>
      <c r="J80" s="70" t="n">
        <f aca="false">SUM(J75:J79)</f>
        <v>17728.04</v>
      </c>
      <c r="K80" s="70" t="n">
        <f aca="false">SUM(K75:K79)</f>
        <v>13661.98</v>
      </c>
      <c r="L80" s="70" t="n">
        <f aca="false">SUM(L75:L79)</f>
        <v>19620.6</v>
      </c>
      <c r="M80" s="70" t="n">
        <f aca="false">SUM(M75:M79)</f>
        <v>19322.2054952667</v>
      </c>
      <c r="N80" s="70" t="n">
        <f aca="false">SUM(N75:N79)</f>
        <v>20055.9601343274</v>
      </c>
      <c r="O80" s="70" t="n">
        <f aca="false">SUM(O75:O79)</f>
        <v>18588.4508562059</v>
      </c>
      <c r="P80" s="70" t="n">
        <f aca="false">SUM(P75:P79)</f>
        <v>14919.6776609021</v>
      </c>
      <c r="Q80" s="70" t="n">
        <f aca="false">SUM(Q75:Q79)</f>
        <v>19331.9888904542</v>
      </c>
      <c r="R80" s="70" t="n">
        <f aca="false">SUM(R75:R79)</f>
        <v>18568.884065831</v>
      </c>
      <c r="S80" s="70" t="n">
        <f aca="false">SUM(S75:S79)</f>
        <v>20095.0937150773</v>
      </c>
      <c r="T80" s="70" t="n">
        <f aca="false">SUM(T75:T79)</f>
        <v>19077.6206155798</v>
      </c>
      <c r="U80" s="70" t="n">
        <f aca="false">SUM(U75:U79)</f>
        <v>19077.6206155798</v>
      </c>
      <c r="V80" s="70" t="n">
        <f aca="false">SUM(V75:V79)</f>
        <v>17551.4109663334</v>
      </c>
      <c r="W80" s="70" t="n">
        <f aca="false">SUM(W75:W79)</f>
        <v>14244.6233929662</v>
      </c>
      <c r="X80" s="70" t="n">
        <f aca="false">SUM(X75:X79)</f>
        <v>17297.042691459</v>
      </c>
      <c r="Y80" s="70" t="n">
        <f aca="false">SUM(Y75:Y79)</f>
        <v>20095.0937150773</v>
      </c>
      <c r="Z80" s="70" t="n">
        <f aca="false">SUM(Z75:Z79)</f>
        <v>20858.1985397005</v>
      </c>
      <c r="AA80" s="70" t="n">
        <f aca="false">SUM(AA75:AA79)</f>
        <v>19331.9888904542</v>
      </c>
      <c r="AB80" s="70" t="n">
        <f aca="false">SUM(AB75:AB79)</f>
        <v>15516.4647673382</v>
      </c>
    </row>
    <row r="81" customFormat="false" ht="15" hidden="false" customHeight="false" outlineLevel="0" collapsed="false">
      <c r="A81" s="28" t="s">
        <v>703</v>
      </c>
      <c r="B81" s="58"/>
      <c r="C81" s="59" t="n">
        <f aca="false">SUM(E81:P81)</f>
        <v>246170.043601847</v>
      </c>
      <c r="D81" s="59" t="n">
        <f aca="false">SUM(Q81:AB81)</f>
        <v>258086.622998612</v>
      </c>
      <c r="E81" s="60" t="n">
        <f aca="false">E80/FX!E9</f>
        <v>23639.4409937888</v>
      </c>
      <c r="F81" s="60" t="n">
        <f aca="false">F80/FX!F9</f>
        <v>20794.9842180775</v>
      </c>
      <c r="G81" s="60" t="n">
        <f aca="false">G80/FX!G9</f>
        <v>21308.2619710883</v>
      </c>
      <c r="H81" s="60" t="n">
        <f aca="false">H80/FX!H9</f>
        <v>17149.442516344</v>
      </c>
      <c r="I81" s="60" t="n">
        <f aca="false">I80/FX!I9</f>
        <v>18843.9324364861</v>
      </c>
      <c r="J81" s="60" t="n">
        <f aca="false">J80/FX!J9</f>
        <v>20506.6975130133</v>
      </c>
      <c r="K81" s="60" t="n">
        <f aca="false">K80/FX!K9</f>
        <v>15909.1470160116</v>
      </c>
      <c r="L81" s="60" t="n">
        <f aca="false">L80/FX!L9</f>
        <v>22918.3165714686</v>
      </c>
      <c r="M81" s="60" t="n">
        <f aca="false">M80/FX!M9</f>
        <v>22560.0194928856</v>
      </c>
      <c r="N81" s="60" t="n">
        <f aca="false">N80/FX!N9</f>
        <v>23416.7290938813</v>
      </c>
      <c r="O81" s="60" t="n">
        <f aca="false">O80/FX!O9</f>
        <v>21703.30989189</v>
      </c>
      <c r="P81" s="60" t="n">
        <f aca="false">P80/FX!P9</f>
        <v>17419.7618869117</v>
      </c>
      <c r="Q81" s="60" t="n">
        <f aca="false">Q80/FX!Q9</f>
        <v>22571.4422875656</v>
      </c>
      <c r="R81" s="60" t="n">
        <f aca="false">R80/FX!R9</f>
        <v>21680.4643025301</v>
      </c>
      <c r="S81" s="60" t="n">
        <f aca="false">S80/FX!S9</f>
        <v>23462.420272601</v>
      </c>
      <c r="T81" s="60" t="n">
        <f aca="false">T80/FX!T9</f>
        <v>22274.4496258871</v>
      </c>
      <c r="U81" s="60" t="n">
        <f aca="false">U80/FX!U9</f>
        <v>22274.4496258871</v>
      </c>
      <c r="V81" s="60" t="n">
        <f aca="false">V80/FX!V9</f>
        <v>20492.4936558161</v>
      </c>
      <c r="W81" s="60" t="n">
        <f aca="false">W80/FX!W9</f>
        <v>16631.5890539957</v>
      </c>
      <c r="X81" s="60" t="n">
        <f aca="false">X80/FX!X9</f>
        <v>20195.5009941376</v>
      </c>
      <c r="Y81" s="60" t="n">
        <f aca="false">Y80/FX!Y9</f>
        <v>23462.420272601</v>
      </c>
      <c r="Z81" s="60" t="n">
        <f aca="false">Z80/FX!Z9</f>
        <v>24353.3982576365</v>
      </c>
      <c r="AA81" s="60" t="n">
        <f aca="false">AA80/FX!AA9</f>
        <v>22571.4422875656</v>
      </c>
      <c r="AB81" s="60" t="n">
        <f aca="false">AB80/FX!AB9</f>
        <v>18116.5523623882</v>
      </c>
    </row>
    <row r="82" customFormat="false" ht="15" hidden="false" customHeight="false" outlineLevel="0" collapsed="false">
      <c r="A82" s="28" t="s">
        <v>704</v>
      </c>
      <c r="B82" s="58" t="s">
        <v>51</v>
      </c>
      <c r="C82" s="59" t="n">
        <f aca="false">SUM(E82:P82)</f>
        <v>0</v>
      </c>
      <c r="D82" s="59" t="n">
        <f aca="false">SUM(Q82:AB82)</f>
        <v>0</v>
      </c>
      <c r="E82" s="71" t="n">
        <f aca="false">0</f>
        <v>0</v>
      </c>
      <c r="F82" s="71" t="n">
        <f aca="false">0</f>
        <v>0</v>
      </c>
      <c r="G82" s="71" t="n">
        <f aca="false">0</f>
        <v>0</v>
      </c>
      <c r="H82" s="71" t="n">
        <f aca="false">0</f>
        <v>0</v>
      </c>
      <c r="I82" s="71" t="n">
        <f aca="false">0</f>
        <v>0</v>
      </c>
      <c r="J82" s="71" t="n">
        <f aca="false">0</f>
        <v>0</v>
      </c>
      <c r="K82" s="71" t="n">
        <f aca="false">0</f>
        <v>0</v>
      </c>
      <c r="L82" s="71" t="n">
        <f aca="false">0</f>
        <v>0</v>
      </c>
      <c r="M82" s="71" t="n">
        <f aca="false">0</f>
        <v>0</v>
      </c>
      <c r="N82" s="71" t="n">
        <f aca="false">0</f>
        <v>0</v>
      </c>
      <c r="O82" s="71" t="n">
        <f aca="false">0</f>
        <v>0</v>
      </c>
      <c r="P82" s="71" t="n">
        <f aca="false">0</f>
        <v>0</v>
      </c>
      <c r="Q82" s="71" t="n">
        <f aca="false">0</f>
        <v>0</v>
      </c>
      <c r="R82" s="71" t="n">
        <f aca="false">0</f>
        <v>0</v>
      </c>
      <c r="S82" s="71" t="n">
        <f aca="false">0</f>
        <v>0</v>
      </c>
      <c r="T82" s="71" t="n">
        <f aca="false">0</f>
        <v>0</v>
      </c>
      <c r="U82" s="71" t="n">
        <f aca="false">0</f>
        <v>0</v>
      </c>
      <c r="V82" s="71" t="n">
        <f aca="false">0</f>
        <v>0</v>
      </c>
      <c r="W82" s="71" t="n">
        <f aca="false">0</f>
        <v>0</v>
      </c>
      <c r="X82" s="71" t="n">
        <f aca="false">0</f>
        <v>0</v>
      </c>
      <c r="Y82" s="71" t="n">
        <f aca="false">0</f>
        <v>0</v>
      </c>
      <c r="Z82" s="71" t="n">
        <f aca="false">0</f>
        <v>0</v>
      </c>
      <c r="AA82" s="71" t="n">
        <f aca="false">0</f>
        <v>0</v>
      </c>
      <c r="AB82" s="71" t="n">
        <f aca="false">0</f>
        <v>0</v>
      </c>
    </row>
    <row r="83" customFormat="false" ht="15" hidden="false" customHeight="false" outlineLevel="0" collapsed="false">
      <c r="A83" s="68" t="s">
        <v>705</v>
      </c>
      <c r="B83" s="69" t="s">
        <v>706</v>
      </c>
      <c r="C83" s="70" t="n">
        <f aca="false">SUM(E83:P83)</f>
        <v>246170.043601847</v>
      </c>
      <c r="D83" s="70" t="n">
        <f aca="false">SUM(Q83:AB83)</f>
        <v>258086.622998612</v>
      </c>
      <c r="E83" s="70" t="n">
        <f aca="false">E81-E82</f>
        <v>23639.4409937888</v>
      </c>
      <c r="F83" s="70" t="n">
        <f aca="false">F81-F82</f>
        <v>20794.9842180775</v>
      </c>
      <c r="G83" s="70" t="n">
        <f aca="false">G81-G82</f>
        <v>21308.2619710883</v>
      </c>
      <c r="H83" s="70" t="n">
        <f aca="false">H81-H82</f>
        <v>17149.442516344</v>
      </c>
      <c r="I83" s="70" t="n">
        <f aca="false">I81-I82</f>
        <v>18843.9324364861</v>
      </c>
      <c r="J83" s="70" t="n">
        <f aca="false">J81-J82</f>
        <v>20506.6975130133</v>
      </c>
      <c r="K83" s="70" t="n">
        <f aca="false">K81-K82</f>
        <v>15909.1470160116</v>
      </c>
      <c r="L83" s="70" t="n">
        <f aca="false">L81-L82</f>
        <v>22918.3165714686</v>
      </c>
      <c r="M83" s="70" t="n">
        <f aca="false">M81-M82</f>
        <v>22560.0194928856</v>
      </c>
      <c r="N83" s="70" t="n">
        <f aca="false">N81-N82</f>
        <v>23416.7290938813</v>
      </c>
      <c r="O83" s="70" t="n">
        <f aca="false">O81-O82</f>
        <v>21703.30989189</v>
      </c>
      <c r="P83" s="70" t="n">
        <f aca="false">P81-P82</f>
        <v>17419.7618869117</v>
      </c>
      <c r="Q83" s="70" t="n">
        <f aca="false">Q81-Q82</f>
        <v>22571.4422875656</v>
      </c>
      <c r="R83" s="70" t="n">
        <f aca="false">R81-R82</f>
        <v>21680.4643025301</v>
      </c>
      <c r="S83" s="70" t="n">
        <f aca="false">S81-S82</f>
        <v>23462.420272601</v>
      </c>
      <c r="T83" s="70" t="n">
        <f aca="false">T81-T82</f>
        <v>22274.4496258871</v>
      </c>
      <c r="U83" s="70" t="n">
        <f aca="false">U81-U82</f>
        <v>22274.4496258871</v>
      </c>
      <c r="V83" s="70" t="n">
        <f aca="false">V81-V82</f>
        <v>20492.4936558161</v>
      </c>
      <c r="W83" s="70" t="n">
        <f aca="false">W81-W82</f>
        <v>16631.5890539957</v>
      </c>
      <c r="X83" s="70" t="n">
        <f aca="false">X81-X82</f>
        <v>20195.5009941376</v>
      </c>
      <c r="Y83" s="70" t="n">
        <f aca="false">Y81-Y82</f>
        <v>23462.420272601</v>
      </c>
      <c r="Z83" s="70" t="n">
        <f aca="false">Z81-Z82</f>
        <v>24353.3982576365</v>
      </c>
      <c r="AA83" s="70" t="n">
        <f aca="false">AA81-AA82</f>
        <v>22571.4422875656</v>
      </c>
      <c r="AB83" s="70" t="n">
        <f aca="false">AB81-AB82</f>
        <v>18116.5523623882</v>
      </c>
    </row>
    <row r="84" customFormat="false" ht="15" hidden="false" customHeight="false" outlineLevel="0" collapsed="false">
      <c r="A84" s="28" t="s">
        <v>707</v>
      </c>
      <c r="B84" s="58" t="s">
        <v>708</v>
      </c>
      <c r="C84" s="66" t="n">
        <f aca="false">SUM(E84:P84)</f>
        <v>2637.7164556962</v>
      </c>
      <c r="D84" s="66" t="n">
        <f aca="false">SUM(Q84:AB84)</f>
        <v>2640</v>
      </c>
      <c r="E84" s="67" t="n">
        <f aca="false">TM_Media!E9</f>
        <v>257.5</v>
      </c>
      <c r="F84" s="67" t="n">
        <f aca="false">TM_Media!F9</f>
        <v>224.5</v>
      </c>
      <c r="G84" s="67" t="n">
        <f aca="false">TM_Media!G9</f>
        <v>222.5</v>
      </c>
      <c r="H84" s="67" t="n">
        <f aca="false">TM_Media!H9</f>
        <v>190.7</v>
      </c>
      <c r="I84" s="67" t="n">
        <f aca="false">TM_Media!I9</f>
        <v>206.7</v>
      </c>
      <c r="J84" s="67" t="n">
        <f aca="false">TM_Media!J9</f>
        <v>215.2</v>
      </c>
      <c r="K84" s="67" t="n">
        <f aca="false">TM_Media!K9</f>
        <v>169</v>
      </c>
      <c r="L84" s="67" t="n">
        <f aca="false">TM_Media!L9</f>
        <v>246.3</v>
      </c>
      <c r="M84" s="67" t="n">
        <f aca="false">TM_Media!M9</f>
        <v>240</v>
      </c>
      <c r="N84" s="67" t="n">
        <f aca="false">TM_Media!N9</f>
        <v>249.113924050633</v>
      </c>
      <c r="O84" s="67" t="n">
        <f aca="false">TM_Media!O9</f>
        <v>230.886075949367</v>
      </c>
      <c r="P84" s="67" t="n">
        <f aca="false">TM_Media!P9</f>
        <v>185.316455696203</v>
      </c>
      <c r="Q84" s="67" t="n">
        <f aca="false">TM_Media!Q9</f>
        <v>230.886075949367</v>
      </c>
      <c r="R84" s="67" t="n">
        <f aca="false">TM_Media!R9</f>
        <v>221.772151898734</v>
      </c>
      <c r="S84" s="67" t="n">
        <f aca="false">TM_Media!S9</f>
        <v>240</v>
      </c>
      <c r="T84" s="67" t="n">
        <f aca="false">TM_Media!T9</f>
        <v>227.848101265823</v>
      </c>
      <c r="U84" s="67" t="n">
        <f aca="false">TM_Media!U9</f>
        <v>227.848101265823</v>
      </c>
      <c r="V84" s="67" t="n">
        <f aca="false">TM_Media!V9</f>
        <v>209.620253164557</v>
      </c>
      <c r="W84" s="67" t="n">
        <f aca="false">TM_Media!W9</f>
        <v>170.126582278481</v>
      </c>
      <c r="X84" s="67" t="n">
        <f aca="false">TM_Media!X9</f>
        <v>206.582278481013</v>
      </c>
      <c r="Y84" s="67" t="n">
        <f aca="false">TM_Media!Y9</f>
        <v>240</v>
      </c>
      <c r="Z84" s="67" t="n">
        <f aca="false">TM_Media!Z9</f>
        <v>249.113924050633</v>
      </c>
      <c r="AA84" s="67" t="n">
        <f aca="false">TM_Media!AA9</f>
        <v>230.886075949367</v>
      </c>
      <c r="AB84" s="67" t="n">
        <f aca="false">TM_Media!AB9</f>
        <v>185.316455696203</v>
      </c>
    </row>
    <row r="85" customFormat="false" ht="15" hidden="false" customHeight="false" outlineLevel="0" collapsed="false">
      <c r="A85" s="28" t="s">
        <v>709</v>
      </c>
      <c r="B85" s="58" t="s">
        <v>710</v>
      </c>
      <c r="C85" s="59" t="n">
        <f aca="false">SUM(E85:P85)</f>
        <v>145231.878860439</v>
      </c>
      <c r="D85" s="59" t="n">
        <f aca="false">SUM(Q85:AB85)</f>
        <v>151898.702582278</v>
      </c>
      <c r="E85" s="60" t="n">
        <f aca="false">TM_Media!E9*Utilisation!E92</f>
        <v>14177.8729574223</v>
      </c>
      <c r="F85" s="60" t="n">
        <f aca="false">TM_Media!F9*Utilisation!F92</f>
        <v>12360.90283084</v>
      </c>
      <c r="G85" s="60" t="n">
        <f aca="false">TM_Media!G9*Utilisation!G92</f>
        <v>12250.783429229</v>
      </c>
      <c r="H85" s="60" t="n">
        <f aca="false">TM_Media!H9*Utilisation!H92</f>
        <v>10499.8849436133</v>
      </c>
      <c r="I85" s="60" t="n">
        <f aca="false">TM_Media!I9*Utilisation!I92</f>
        <v>11380.8401565017</v>
      </c>
      <c r="J85" s="60" t="n">
        <f aca="false">TM_Media!J9*Utilisation!J92</f>
        <v>11848.8476133487</v>
      </c>
      <c r="K85" s="60" t="n">
        <f aca="false">TM_Media!K9*Utilisation!K92</f>
        <v>9305.08943613349</v>
      </c>
      <c r="L85" s="60" t="n">
        <f aca="false">TM_Media!L9*Utilisation!L92</f>
        <v>13561.2043084005</v>
      </c>
      <c r="M85" s="60" t="n">
        <f aca="false">TM_Media!M9*Utilisation!M92</f>
        <v>13214.3281933257</v>
      </c>
      <c r="N85" s="60" t="n">
        <f aca="false">TM_Media!N9*Utilisation!N92</f>
        <v>13716.1381247178</v>
      </c>
      <c r="O85" s="60" t="n">
        <f aca="false">TM_Media!O9*Utilisation!O92</f>
        <v>12712.5182619335</v>
      </c>
      <c r="P85" s="60" t="n">
        <f aca="false">TM_Media!P9*Utilisation!P92</f>
        <v>10203.468604973</v>
      </c>
      <c r="Q85" s="60" t="n">
        <f aca="false">TM_Media!Q9*Utilisation!Q92</f>
        <v>13284.5815837206</v>
      </c>
      <c r="R85" s="60" t="n">
        <f aca="false">TM_Media!R9*Utilisation!R92</f>
        <v>12760.1902054158</v>
      </c>
      <c r="S85" s="60" t="n">
        <f aca="false">TM_Media!S9*Utilisation!S92</f>
        <v>13808.9729620253</v>
      </c>
      <c r="T85" s="60" t="n">
        <f aca="false">TM_Media!T9*Utilisation!T92</f>
        <v>13109.784457619</v>
      </c>
      <c r="U85" s="60" t="n">
        <f aca="false">TM_Media!U9*Utilisation!U92</f>
        <v>13109.784457619</v>
      </c>
      <c r="V85" s="60" t="n">
        <f aca="false">TM_Media!V9*Utilisation!V92</f>
        <v>12061.0017010095</v>
      </c>
      <c r="W85" s="60" t="n">
        <f aca="false">TM_Media!W9*Utilisation!W92</f>
        <v>9788.63906168883</v>
      </c>
      <c r="X85" s="60" t="n">
        <f aca="false">TM_Media!X9*Utilisation!X92</f>
        <v>11886.2045749079</v>
      </c>
      <c r="Y85" s="60" t="n">
        <f aca="false">TM_Media!Y9*Utilisation!Y92</f>
        <v>13808.9729620253</v>
      </c>
      <c r="Z85" s="60" t="n">
        <f aca="false">TM_Media!Z9*Utilisation!Z92</f>
        <v>14333.3643403301</v>
      </c>
      <c r="AA85" s="60" t="n">
        <f aca="false">TM_Media!AA9*Utilisation!AA92</f>
        <v>13284.5815837206</v>
      </c>
      <c r="AB85" s="60" t="n">
        <f aca="false">TM_Media!AB9*Utilisation!AB92</f>
        <v>10662.6246921968</v>
      </c>
    </row>
    <row r="86" customFormat="false" ht="15" hidden="false" customHeight="false" outlineLevel="0" collapsed="false">
      <c r="A86" s="28" t="s">
        <v>711</v>
      </c>
      <c r="B86" s="58" t="s">
        <v>53</v>
      </c>
      <c r="C86" s="59" t="n">
        <f aca="false">SUM(E86:P86)</f>
        <v>0</v>
      </c>
      <c r="D86" s="59" t="n">
        <f aca="false">SUM(Q86:AB86)</f>
        <v>0</v>
      </c>
      <c r="E86" s="71" t="n">
        <f aca="false">0</f>
        <v>0</v>
      </c>
      <c r="F86" s="71" t="n">
        <f aca="false">0</f>
        <v>0</v>
      </c>
      <c r="G86" s="71" t="n">
        <f aca="false">0</f>
        <v>0</v>
      </c>
      <c r="H86" s="71" t="n">
        <f aca="false">0</f>
        <v>0</v>
      </c>
      <c r="I86" s="71" t="n">
        <f aca="false">0</f>
        <v>0</v>
      </c>
      <c r="J86" s="71" t="n">
        <f aca="false">0</f>
        <v>0</v>
      </c>
      <c r="K86" s="71" t="n">
        <f aca="false">0</f>
        <v>0</v>
      </c>
      <c r="L86" s="71" t="n">
        <f aca="false">0</f>
        <v>0</v>
      </c>
      <c r="M86" s="71" t="n">
        <f aca="false">0</f>
        <v>0</v>
      </c>
      <c r="N86" s="71" t="n">
        <f aca="false">0</f>
        <v>0</v>
      </c>
      <c r="O86" s="71" t="n">
        <f aca="false">0</f>
        <v>0</v>
      </c>
      <c r="P86" s="71" t="n">
        <f aca="false">0</f>
        <v>0</v>
      </c>
      <c r="Q86" s="71" t="n">
        <f aca="false">0</f>
        <v>0</v>
      </c>
      <c r="R86" s="71" t="n">
        <f aca="false">0</f>
        <v>0</v>
      </c>
      <c r="S86" s="71" t="n">
        <f aca="false">0</f>
        <v>0</v>
      </c>
      <c r="T86" s="71" t="n">
        <f aca="false">0</f>
        <v>0</v>
      </c>
      <c r="U86" s="71" t="n">
        <f aca="false">0</f>
        <v>0</v>
      </c>
      <c r="V86" s="71" t="n">
        <f aca="false">0</f>
        <v>0</v>
      </c>
      <c r="W86" s="71" t="n">
        <f aca="false">0</f>
        <v>0</v>
      </c>
      <c r="X86" s="71" t="n">
        <f aca="false">0</f>
        <v>0</v>
      </c>
      <c r="Y86" s="71" t="n">
        <f aca="false">0</f>
        <v>0</v>
      </c>
      <c r="Z86" s="71" t="n">
        <f aca="false">0</f>
        <v>0</v>
      </c>
      <c r="AA86" s="71" t="n">
        <f aca="false">0</f>
        <v>0</v>
      </c>
      <c r="AB86" s="71" t="n">
        <f aca="false">0</f>
        <v>0</v>
      </c>
    </row>
    <row r="87" customFormat="false" ht="15" hidden="false" customHeight="false" outlineLevel="0" collapsed="false">
      <c r="A87" s="28" t="s">
        <v>712</v>
      </c>
      <c r="B87" s="58" t="s">
        <v>713</v>
      </c>
      <c r="C87" s="59" t="n">
        <f aca="false">SUM(E87:P87)</f>
        <v>211636.1264858</v>
      </c>
      <c r="D87" s="59" t="n">
        <f aca="false">SUM(Q87:AB87)</f>
        <v>220449.243759415</v>
      </c>
      <c r="E87" s="60" t="n">
        <f aca="false">TM_Media!E13+E78+E86+E79</f>
        <v>14195.39</v>
      </c>
      <c r="F87" s="60" t="n">
        <f aca="false">TM_Media!F13+F78+F86+F79</f>
        <v>20552.13</v>
      </c>
      <c r="G87" s="60" t="n">
        <f aca="false">TM_Media!G13+G78+G86+G79</f>
        <v>18117.63</v>
      </c>
      <c r="H87" s="60" t="n">
        <f aca="false">TM_Media!H13+H78+H86+H79</f>
        <v>18587.41</v>
      </c>
      <c r="I87" s="60" t="n">
        <f aca="false">TM_Media!I13+I78+I86+I79</f>
        <v>14873.54</v>
      </c>
      <c r="J87" s="60" t="n">
        <f aca="false">TM_Media!J13+J78+J86+J79</f>
        <v>16332.79</v>
      </c>
      <c r="K87" s="60" t="n">
        <f aca="false">TM_Media!K13+K78+K86+K79</f>
        <v>17728.04</v>
      </c>
      <c r="L87" s="60" t="n">
        <f aca="false">TM_Media!L13+L78+L86+L79</f>
        <v>13661.98</v>
      </c>
      <c r="M87" s="60" t="n">
        <f aca="false">TM_Media!M13+M78+M86+M79</f>
        <v>19620.6</v>
      </c>
      <c r="N87" s="60" t="n">
        <f aca="false">TM_Media!N13+N78+N86+N79</f>
        <v>19322.2054952667</v>
      </c>
      <c r="O87" s="60" t="n">
        <f aca="false">TM_Media!O13+O78+O86+O79</f>
        <v>20055.9601343274</v>
      </c>
      <c r="P87" s="60" t="n">
        <f aca="false">TM_Media!P13+P78+P86+P79</f>
        <v>18588.4508562059</v>
      </c>
      <c r="Q87" s="60" t="n">
        <f aca="false">TM_Media!Q13+Q78+Q86+Q79</f>
        <v>14919.6776609021</v>
      </c>
      <c r="R87" s="60" t="n">
        <f aca="false">TM_Media!R13+R78+R86+R79</f>
        <v>19331.9888904542</v>
      </c>
      <c r="S87" s="60" t="n">
        <f aca="false">TM_Media!S13+S78+S86+S79</f>
        <v>18568.884065831</v>
      </c>
      <c r="T87" s="60" t="n">
        <f aca="false">TM_Media!T13+T78+T86+T79</f>
        <v>20095.0937150773</v>
      </c>
      <c r="U87" s="60" t="n">
        <f aca="false">TM_Media!U13+U78+U86+U79</f>
        <v>19077.6206155798</v>
      </c>
      <c r="V87" s="60" t="n">
        <f aca="false">TM_Media!V13+V78+V86+V79</f>
        <v>19077.6206155798</v>
      </c>
      <c r="W87" s="60" t="n">
        <f aca="false">TM_Media!W13+W78+W86+W79</f>
        <v>17551.4109663334</v>
      </c>
      <c r="X87" s="60" t="n">
        <f aca="false">TM_Media!X13+X78+X86+X79</f>
        <v>14244.6233929662</v>
      </c>
      <c r="Y87" s="60" t="n">
        <f aca="false">TM_Media!Y13+Y78+Y86+Y79</f>
        <v>17297.042691459</v>
      </c>
      <c r="Z87" s="60" t="n">
        <f aca="false">TM_Media!Z13+Z78+Z86+Z79</f>
        <v>20095.0937150773</v>
      </c>
      <c r="AA87" s="60" t="n">
        <f aca="false">TM_Media!AA13+AA78+AA86+AA79</f>
        <v>20858.1985397005</v>
      </c>
      <c r="AB87" s="60" t="n">
        <f aca="false">TM_Media!AB13+AB78+AB86+AB79</f>
        <v>19331.9888904542</v>
      </c>
    </row>
    <row r="88" customFormat="false" ht="15" hidden="false" customHeight="false" outlineLevel="0" collapsed="false">
      <c r="A88" s="28" t="s">
        <v>714</v>
      </c>
      <c r="B88" s="58" t="s">
        <v>715</v>
      </c>
      <c r="C88" s="59" t="n">
        <f aca="false">SUM(E88:P88)</f>
        <v>0</v>
      </c>
      <c r="D88" s="59" t="n">
        <f aca="false">SUM(Q88:AB88)</f>
        <v>0</v>
      </c>
      <c r="E88" s="60" t="n">
        <f aca="false">E87*Client_Register!$F$10</f>
        <v>0</v>
      </c>
      <c r="F88" s="60" t="n">
        <f aca="false">F87*Client_Register!$F$10</f>
        <v>0</v>
      </c>
      <c r="G88" s="60" t="n">
        <f aca="false">G87*Client_Register!$F$10</f>
        <v>0</v>
      </c>
      <c r="H88" s="60" t="n">
        <f aca="false">H87*Client_Register!$F$10</f>
        <v>0</v>
      </c>
      <c r="I88" s="60" t="n">
        <f aca="false">I87*Client_Register!$F$10</f>
        <v>0</v>
      </c>
      <c r="J88" s="60" t="n">
        <f aca="false">J87*Client_Register!$F$10</f>
        <v>0</v>
      </c>
      <c r="K88" s="60" t="n">
        <f aca="false">K87*Client_Register!$F$10</f>
        <v>0</v>
      </c>
      <c r="L88" s="60" t="n">
        <f aca="false">L87*Client_Register!$F$10</f>
        <v>0</v>
      </c>
      <c r="M88" s="60" t="n">
        <f aca="false">M87*Client_Register!$F$10</f>
        <v>0</v>
      </c>
      <c r="N88" s="60" t="n">
        <f aca="false">N87*Client_Register!$F$10</f>
        <v>0</v>
      </c>
      <c r="O88" s="60" t="n">
        <f aca="false">O87*Client_Register!$F$10</f>
        <v>0</v>
      </c>
      <c r="P88" s="60" t="n">
        <f aca="false">P87*Client_Register!$F$10</f>
        <v>0</v>
      </c>
      <c r="Q88" s="60" t="n">
        <f aca="false">Q87*Client_Register!$F$10</f>
        <v>0</v>
      </c>
      <c r="R88" s="60" t="n">
        <f aca="false">R87*Client_Register!$F$10</f>
        <v>0</v>
      </c>
      <c r="S88" s="60" t="n">
        <f aca="false">S87*Client_Register!$F$10</f>
        <v>0</v>
      </c>
      <c r="T88" s="60" t="n">
        <f aca="false">T87*Client_Register!$F$10</f>
        <v>0</v>
      </c>
      <c r="U88" s="60" t="n">
        <f aca="false">U87*Client_Register!$F$10</f>
        <v>0</v>
      </c>
      <c r="V88" s="60" t="n">
        <f aca="false">V87*Client_Register!$F$10</f>
        <v>0</v>
      </c>
      <c r="W88" s="60" t="n">
        <f aca="false">W87*Client_Register!$F$10</f>
        <v>0</v>
      </c>
      <c r="X88" s="60" t="n">
        <f aca="false">X87*Client_Register!$F$10</f>
        <v>0</v>
      </c>
      <c r="Y88" s="60" t="n">
        <f aca="false">Y87*Client_Register!$F$10</f>
        <v>0</v>
      </c>
      <c r="Z88" s="60" t="n">
        <f aca="false">Z87*Client_Register!$F$10</f>
        <v>0</v>
      </c>
      <c r="AA88" s="60" t="n">
        <f aca="false">AA87*Client_Register!$F$10</f>
        <v>0</v>
      </c>
      <c r="AB88" s="60" t="n">
        <f aca="false">AB87*Client_Register!$F$10</f>
        <v>0</v>
      </c>
    </row>
    <row r="89" customFormat="false" ht="15" hidden="false" customHeight="false" outlineLevel="0" collapsed="false">
      <c r="A89" s="68" t="s">
        <v>716</v>
      </c>
      <c r="B89" s="69"/>
      <c r="C89" s="70" t="n">
        <f aca="false">SUM(E89:P89)</f>
        <v>211636.1264858</v>
      </c>
      <c r="D89" s="70" t="n">
        <f aca="false">SUM(Q89:AB89)</f>
        <v>220449.243759415</v>
      </c>
      <c r="E89" s="70" t="n">
        <f aca="false">E87+E88</f>
        <v>14195.39</v>
      </c>
      <c r="F89" s="70" t="n">
        <f aca="false">F87+F88</f>
        <v>20552.13</v>
      </c>
      <c r="G89" s="70" t="n">
        <f aca="false">G87+G88</f>
        <v>18117.63</v>
      </c>
      <c r="H89" s="70" t="n">
        <f aca="false">H87+H88</f>
        <v>18587.41</v>
      </c>
      <c r="I89" s="70" t="n">
        <f aca="false">I87+I88</f>
        <v>14873.54</v>
      </c>
      <c r="J89" s="70" t="n">
        <f aca="false">J87+J88</f>
        <v>16332.79</v>
      </c>
      <c r="K89" s="70" t="n">
        <f aca="false">K87+K88</f>
        <v>17728.04</v>
      </c>
      <c r="L89" s="70" t="n">
        <f aca="false">L87+L88</f>
        <v>13661.98</v>
      </c>
      <c r="M89" s="70" t="n">
        <f aca="false">M87+M88</f>
        <v>19620.6</v>
      </c>
      <c r="N89" s="70" t="n">
        <f aca="false">N87+N88</f>
        <v>19322.2054952667</v>
      </c>
      <c r="O89" s="70" t="n">
        <f aca="false">O87+O88</f>
        <v>20055.9601343274</v>
      </c>
      <c r="P89" s="70" t="n">
        <f aca="false">P87+P88</f>
        <v>18588.4508562059</v>
      </c>
      <c r="Q89" s="70" t="n">
        <f aca="false">Q87+Q88</f>
        <v>14919.6776609021</v>
      </c>
      <c r="R89" s="70" t="n">
        <f aca="false">R87+R88</f>
        <v>19331.9888904542</v>
      </c>
      <c r="S89" s="70" t="n">
        <f aca="false">S87+S88</f>
        <v>18568.884065831</v>
      </c>
      <c r="T89" s="70" t="n">
        <f aca="false">T87+T88</f>
        <v>20095.0937150773</v>
      </c>
      <c r="U89" s="70" t="n">
        <f aca="false">U87+U88</f>
        <v>19077.6206155798</v>
      </c>
      <c r="V89" s="70" t="n">
        <f aca="false">V87+V88</f>
        <v>19077.6206155798</v>
      </c>
      <c r="W89" s="70" t="n">
        <f aca="false">W87+W88</f>
        <v>17551.4109663334</v>
      </c>
      <c r="X89" s="70" t="n">
        <f aca="false">X87+X88</f>
        <v>14244.6233929662</v>
      </c>
      <c r="Y89" s="70" t="n">
        <f aca="false">Y87+Y88</f>
        <v>17297.042691459</v>
      </c>
      <c r="Z89" s="70" t="n">
        <f aca="false">Z87+Z88</f>
        <v>20095.0937150773</v>
      </c>
      <c r="AA89" s="70" t="n">
        <f aca="false">AA87+AA88</f>
        <v>20858.1985397005</v>
      </c>
      <c r="AB89" s="70" t="n">
        <f aca="false">AB87+AB88</f>
        <v>19331.9888904542</v>
      </c>
    </row>
    <row r="90" customFormat="false" ht="15" hidden="false" customHeight="false" outlineLevel="0" collapsed="false">
      <c r="A90" s="28" t="s">
        <v>717</v>
      </c>
      <c r="B90" s="58" t="s">
        <v>718</v>
      </c>
      <c r="C90" s="59" t="n">
        <f aca="false">SUM(E90:P90)</f>
        <v>210431.85556243</v>
      </c>
      <c r="D90" s="59" t="n">
        <f aca="false">SUM(Q90:AB90)</f>
        <v>219304.58652248</v>
      </c>
      <c r="E90" s="60" t="n">
        <f aca="false">IF(E$5="A",Inputs_Actuals!E116,Client_Register!$T$10+E89-(E89*MIN(1,Client_Register!$J$10/30)+0*MIN(1,MAX(0,(Client_Register!$J$10-30)/30))+0*MIN(1,MAX(0,(Client_Register!$J$10-60)/30))))</f>
        <v>17042.51</v>
      </c>
      <c r="F90" s="60" t="n">
        <f aca="false">IF(F$5="A",Inputs_Actuals!F116,E91+F89-(F89*MIN(1,Client_Register!$J$10/30)+E89*MIN(1,MAX(0,(Client_Register!$J$10-30)/30))+0*MIN(1,MAX(0,(Client_Register!$J$10-60)/30))))</f>
        <v>16709.45</v>
      </c>
      <c r="G90" s="60" t="n">
        <f aca="false">IF(G$5="A",Inputs_Actuals!G116,F91+G89-(G89*MIN(1,Client_Register!$J$10/30)+F89*MIN(1,MAX(0,(Client_Register!$J$10-30)/30))+E89*MIN(1,MAX(0,(Client_Register!$J$10-60)/30))))</f>
        <v>18134.38</v>
      </c>
      <c r="H90" s="60" t="n">
        <f aca="false">IF(H$5="A",Inputs_Actuals!H116,G91+H89-(H89*MIN(1,Client_Register!$J$10/30)+G89*MIN(1,MAX(0,(Client_Register!$J$10-30)/30))+F89*MIN(1,MAX(0,(Client_Register!$J$10-60)/30))))</f>
        <v>19624.88</v>
      </c>
      <c r="I90" s="60" t="n">
        <f aca="false">IF(I$5="A",Inputs_Actuals!I116,H91+I89-(I89*MIN(1,Client_Register!$J$10/30)+H89*MIN(1,MAX(0,(Client_Register!$J$10-30)/30))+G89*MIN(1,MAX(0,(Client_Register!$J$10-60)/30))))</f>
        <v>16268.18</v>
      </c>
      <c r="J90" s="60" t="n">
        <f aca="false">IF(J$5="A",Inputs_Actuals!J116,I91+J89-(J89*MIN(1,Client_Register!$J$10/30)+I89*MIN(1,MAX(0,(Client_Register!$J$10-30)/30))+H89*MIN(1,MAX(0,(Client_Register!$J$10-60)/30))))</f>
        <v>17166.74</v>
      </c>
      <c r="K90" s="60" t="n">
        <f aca="false">IF(K$5="A",Inputs_Actuals!K116,J91+K89-(K89*MIN(1,Client_Register!$J$10/30)+J89*MIN(1,MAX(0,(Client_Register!$J$10-30)/30))+I89*MIN(1,MAX(0,(Client_Register!$J$10-60)/30))))</f>
        <v>18356.48</v>
      </c>
      <c r="L90" s="60" t="n">
        <f aca="false">IF(L$5="A",Inputs_Actuals!L116,K91+L89-(L89*MIN(1,Client_Register!$J$10/30)+K89*MIN(1,MAX(0,(Client_Register!$J$10-30)/30))+J89*MIN(1,MAX(0,(Client_Register!$J$10-60)/30))))</f>
        <v>13913.57</v>
      </c>
      <c r="M90" s="60" t="n">
        <f aca="false">IF(M$5="A",Inputs_Actuals!M116,L91+M89-(M89*MIN(1,Client_Register!$J$10/30)+L89*MIN(1,MAX(0,(Client_Register!$J$10-30)/30))+K89*MIN(1,MAX(0,(Client_Register!$J$10-60)/30))))</f>
        <v>17413.89</v>
      </c>
      <c r="N90" s="60" t="n">
        <f aca="false">IF(N$5="A",Inputs_Actuals!N116,M91+N89-(N89*MIN(1,Client_Register!$J$10/30)+M89*MIN(1,MAX(0,(Client_Register!$J$10-30)/30))+L89*MIN(1,MAX(0,(Client_Register!$J$10-60)/30))))</f>
        <v>16641.29</v>
      </c>
      <c r="O90" s="60" t="n">
        <f aca="false">IF(O$5="A",Inputs_Actuals!O116,N91+O89-(O89*MIN(1,Client_Register!$J$10/30)+N89*MIN(1,MAX(0,(Client_Register!$J$10-30)/30))+M89*MIN(1,MAX(0,(Client_Register!$J$10-60)/30))))</f>
        <v>19471.4027476333</v>
      </c>
      <c r="P90" s="60" t="n">
        <f aca="false">IF(P$5="A",Inputs_Actuals!P116,O91+P89-(P89*MIN(1,Client_Register!$J$10/30)+O89*MIN(1,MAX(0,(Client_Register!$J$10-30)/30))+N89*MIN(1,MAX(0,(Client_Register!$J$10-60)/30))))</f>
        <v>19689.0828147971</v>
      </c>
      <c r="Q90" s="60" t="n">
        <f aca="false">IF(Q$5="A",Inputs_Actuals!Q116,P91+Q89-(Q89*MIN(1,Client_Register!$J$10/30)+P89*MIN(1,MAX(0,(Client_Register!$J$10-30)/30))+O89*MIN(1,MAX(0,(Client_Register!$J$10-60)/30))))</f>
        <v>19322.2054952667</v>
      </c>
      <c r="R90" s="60" t="n">
        <f aca="false">IF(R$5="A",Inputs_Actuals!R116,Q91+R89-(R89*MIN(1,Client_Register!$J$10/30)+Q89*MIN(1,MAX(0,(Client_Register!$J$10-30)/30))+P89*MIN(1,MAX(0,(Client_Register!$J$10-60)/30))))</f>
        <v>16754.064258554</v>
      </c>
      <c r="S90" s="60" t="n">
        <f aca="false">IF(S$5="A",Inputs_Actuals!S116,R91+S89-(S89*MIN(1,Client_Register!$J$10/30)+R89*MIN(1,MAX(0,(Client_Register!$J$10-30)/30))+Q89*MIN(1,MAX(0,(Client_Register!$J$10-60)/30))))</f>
        <v>17125.8332756781</v>
      </c>
      <c r="T90" s="60" t="n">
        <f aca="false">IF(T$5="A",Inputs_Actuals!T116,S91+T89-(T89*MIN(1,Client_Register!$J$10/30)+S89*MIN(1,MAX(0,(Client_Register!$J$10-30)/30))+R89*MIN(1,MAX(0,(Client_Register!$J$10-60)/30))))</f>
        <v>18950.4364781426</v>
      </c>
      <c r="U90" s="60" t="n">
        <f aca="false">IF(U$5="A",Inputs_Actuals!U116,T91+U89-(U89*MIN(1,Client_Register!$J$10/30)+T89*MIN(1,MAX(0,(Client_Register!$J$10-30)/30))+S89*MIN(1,MAX(0,(Client_Register!$J$10-60)/30))))</f>
        <v>19331.9888904542</v>
      </c>
      <c r="V90" s="60" t="n">
        <f aca="false">IF(V$5="A",Inputs_Actuals!V116,U91+V89-(V89*MIN(1,Client_Register!$J$10/30)+U89*MIN(1,MAX(0,(Client_Register!$J$10-30)/30))+T89*MIN(1,MAX(0,(Client_Register!$J$10-60)/30))))</f>
        <v>19586.3571653285</v>
      </c>
      <c r="W90" s="60" t="n">
        <f aca="false">IF(W$5="A",Inputs_Actuals!W116,V91+W89-(W89*MIN(1,Client_Register!$J$10/30)+V89*MIN(1,MAX(0,(Client_Register!$J$10-30)/30))+U89*MIN(1,MAX(0,(Client_Register!$J$10-60)/30))))</f>
        <v>19077.6206155798</v>
      </c>
      <c r="X90" s="60" t="n">
        <f aca="false">IF(X$5="A",Inputs_Actuals!X116,W91+X89-(X89*MIN(1,Client_Register!$J$10/30)+W89*MIN(1,MAX(0,(Client_Register!$J$10-30)/30))+V89*MIN(1,MAX(0,(Client_Register!$J$10-60)/30))))</f>
        <v>18314.5157909566</v>
      </c>
      <c r="Y90" s="60" t="n">
        <f aca="false">IF(Y$5="A",Inputs_Actuals!Y116,X91+Y89-(Y89*MIN(1,Client_Register!$J$10/30)+X89*MIN(1,MAX(0,(Client_Register!$J$10-30)/30))+W89*MIN(1,MAX(0,(Client_Register!$J$10-60)/30))))</f>
        <v>15898.0171796498</v>
      </c>
      <c r="Z90" s="60" t="n">
        <f aca="false">IF(Z$5="A",Inputs_Actuals!Z116,Y91+Z89-(Z89*MIN(1,Client_Register!$J$10/30)+Y89*MIN(1,MAX(0,(Client_Register!$J$10-30)/30))+X89*MIN(1,MAX(0,(Client_Register!$J$10-60)/30))))</f>
        <v>15770.8330422126</v>
      </c>
      <c r="AA90" s="60" t="n">
        <f aca="false">IF(AA$5="A",Inputs_Actuals!AA116,Z91+AA89-(AA89*MIN(1,Client_Register!$J$10/30)+Z89*MIN(1,MAX(0,(Client_Register!$J$10-30)/30))+Y89*MIN(1,MAX(0,(Client_Register!$J$10-60)/30))))</f>
        <v>18696.0682032682</v>
      </c>
      <c r="AB90" s="60" t="n">
        <f aca="false">IF(AB$5="A",Inputs_Actuals!AB116,AA91+AB89-(AB89*MIN(1,Client_Register!$J$10/30)+AA89*MIN(1,MAX(0,(Client_Register!$J$10-30)/30))+Z89*MIN(1,MAX(0,(Client_Register!$J$10-60)/30))))</f>
        <v>20476.6461273889</v>
      </c>
    </row>
    <row r="91" customFormat="false" ht="15" hidden="false" customHeight="false" outlineLevel="0" collapsed="false">
      <c r="A91" s="68" t="s">
        <v>719</v>
      </c>
      <c r="B91" s="69" t="s">
        <v>720</v>
      </c>
      <c r="C91" s="70" t="n">
        <f aca="false">P91</f>
        <v>28616.4309233696</v>
      </c>
      <c r="D91" s="70" t="n">
        <f aca="false">AB91</f>
        <v>29761.0881603044</v>
      </c>
      <c r="E91" s="74" t="n">
        <f aca="false">Client_Register!$T$10+E89-E90</f>
        <v>24565.04</v>
      </c>
      <c r="F91" s="70" t="n">
        <f aca="false">E91+F89-F90</f>
        <v>28407.72</v>
      </c>
      <c r="G91" s="70" t="n">
        <f aca="false">F91+G89-G90</f>
        <v>28390.97</v>
      </c>
      <c r="H91" s="70" t="n">
        <f aca="false">G91+H89-H90</f>
        <v>27353.5</v>
      </c>
      <c r="I91" s="70" t="n">
        <f aca="false">H91+I89-I90</f>
        <v>25958.86</v>
      </c>
      <c r="J91" s="70" t="n">
        <f aca="false">I91+J89-J90</f>
        <v>25124.91</v>
      </c>
      <c r="K91" s="70" t="n">
        <f aca="false">J91+K89-K90</f>
        <v>24496.47</v>
      </c>
      <c r="L91" s="70" t="n">
        <f aca="false">K91+L89-L90</f>
        <v>24244.88</v>
      </c>
      <c r="M91" s="70" t="n">
        <f aca="false">L91+M89-M90</f>
        <v>26451.59</v>
      </c>
      <c r="N91" s="70" t="n">
        <f aca="false">M91+N89-N90</f>
        <v>29132.5054952667</v>
      </c>
      <c r="O91" s="70" t="n">
        <f aca="false">N91+O89-O90</f>
        <v>29717.0628819608</v>
      </c>
      <c r="P91" s="70" t="n">
        <f aca="false">O91+P89-P90</f>
        <v>28616.4309233696</v>
      </c>
      <c r="Q91" s="70" t="n">
        <f aca="false">P91+Q89-Q90</f>
        <v>24213.9030890051</v>
      </c>
      <c r="R91" s="70" t="n">
        <f aca="false">Q91+R89-R90</f>
        <v>26791.8277209052</v>
      </c>
      <c r="S91" s="70" t="n">
        <f aca="false">R91+S89-S90</f>
        <v>28234.878511058</v>
      </c>
      <c r="T91" s="70" t="n">
        <f aca="false">S91+T89-T90</f>
        <v>29379.5357479928</v>
      </c>
      <c r="U91" s="70" t="n">
        <f aca="false">T91+U89-U90</f>
        <v>29125.1674731184</v>
      </c>
      <c r="V91" s="70" t="n">
        <f aca="false">U91+V89-V90</f>
        <v>28616.4309233696</v>
      </c>
      <c r="W91" s="70" t="n">
        <f aca="false">V91+W89-W90</f>
        <v>27090.2212741233</v>
      </c>
      <c r="X91" s="70" t="n">
        <f aca="false">W91+X89-X90</f>
        <v>23020.3288761329</v>
      </c>
      <c r="Y91" s="70" t="n">
        <f aca="false">X91+Y89-Y90</f>
        <v>24419.3543879421</v>
      </c>
      <c r="Z91" s="70" t="n">
        <f aca="false">Y91+Z89-Z90</f>
        <v>28743.6150608068</v>
      </c>
      <c r="AA91" s="70" t="n">
        <f aca="false">Z91+AA89-AA90</f>
        <v>30905.7453972392</v>
      </c>
      <c r="AB91" s="70" t="n">
        <f aca="false">AA91+AB89-AB90</f>
        <v>29761.0881603044</v>
      </c>
    </row>
    <row r="92" customFormat="false" ht="15" hidden="false" customHeight="false" outlineLevel="0" collapsed="false">
      <c r="A92" s="28" t="s">
        <v>721</v>
      </c>
      <c r="B92" s="58" t="s">
        <v>722</v>
      </c>
      <c r="C92" s="59" t="n">
        <f aca="false">P92</f>
        <v>14919.6776609021</v>
      </c>
      <c r="D92" s="59" t="n">
        <f aca="false">AB92</f>
        <v>15516.4647673382</v>
      </c>
      <c r="E92" s="60" t="n">
        <f aca="false">Client_Register!$U$10+E80-(E87-E86)</f>
        <v>20552.13</v>
      </c>
      <c r="F92" s="71" t="n">
        <f aca="false">E92+F80-(F87-F86)</f>
        <v>18117.63</v>
      </c>
      <c r="G92" s="71" t="n">
        <f aca="false">F92+G80-(G87-G86)</f>
        <v>18587.41</v>
      </c>
      <c r="H92" s="71" t="n">
        <f aca="false">G92+H80-(H87-H86)</f>
        <v>14873.54</v>
      </c>
      <c r="I92" s="71" t="n">
        <f aca="false">H92+I80-(I87-I86)</f>
        <v>16332.79</v>
      </c>
      <c r="J92" s="71" t="n">
        <f aca="false">I92+J80-(J87-J86)</f>
        <v>17728.04</v>
      </c>
      <c r="K92" s="71" t="n">
        <f aca="false">J92+K80-(K87-K86)</f>
        <v>13661.98</v>
      </c>
      <c r="L92" s="71" t="n">
        <f aca="false">K92+L80-(L87-L86)</f>
        <v>19620.6</v>
      </c>
      <c r="M92" s="71" t="n">
        <f aca="false">L92+M80-(M87-M86)</f>
        <v>19322.2054952667</v>
      </c>
      <c r="N92" s="71" t="n">
        <f aca="false">M92+N80-(N87-N86)</f>
        <v>20055.9601343275</v>
      </c>
      <c r="O92" s="71" t="n">
        <f aca="false">N92+O80-(O87-O86)</f>
        <v>18588.4508562059</v>
      </c>
      <c r="P92" s="71" t="n">
        <f aca="false">O92+P80-(P87-P86)</f>
        <v>14919.6776609021</v>
      </c>
      <c r="Q92" s="71" t="n">
        <f aca="false">P92+Q80-(Q87-Q86)</f>
        <v>19331.9888904542</v>
      </c>
      <c r="R92" s="71" t="n">
        <f aca="false">Q92+R80-(R87-R86)</f>
        <v>18568.884065831</v>
      </c>
      <c r="S92" s="71" t="n">
        <f aca="false">R92+S80-(S87-S86)</f>
        <v>20095.0937150774</v>
      </c>
      <c r="T92" s="71" t="n">
        <f aca="false">S92+T80-(T87-T86)</f>
        <v>19077.6206155798</v>
      </c>
      <c r="U92" s="71" t="n">
        <f aca="false">T92+U80-(U87-U86)</f>
        <v>19077.6206155798</v>
      </c>
      <c r="V92" s="71" t="n">
        <f aca="false">U92+V80-(V87-V86)</f>
        <v>17551.4109663334</v>
      </c>
      <c r="W92" s="71" t="n">
        <f aca="false">V92+W80-(W87-W86)</f>
        <v>14244.6233929662</v>
      </c>
      <c r="X92" s="71" t="n">
        <f aca="false">W92+X80-(X87-X86)</f>
        <v>17297.042691459</v>
      </c>
      <c r="Y92" s="71" t="n">
        <f aca="false">X92+Y80-(Y87-Y86)</f>
        <v>20095.0937150774</v>
      </c>
      <c r="Z92" s="71" t="n">
        <f aca="false">Y92+Z80-(Z87-Z86)</f>
        <v>20858.1985397006</v>
      </c>
      <c r="AA92" s="71" t="n">
        <f aca="false">Z92+AA80-(AA87-AA86)</f>
        <v>19331.9888904542</v>
      </c>
      <c r="AB92" s="71" t="n">
        <f aca="false">AA92+AB80-(AB87-AB86)</f>
        <v>15516.4647673382</v>
      </c>
    </row>
    <row r="93" customFormat="false" ht="15" hidden="false" customHeight="false" outlineLevel="0" collapsed="false">
      <c r="A93" s="28" t="s">
        <v>723</v>
      </c>
      <c r="B93" s="58"/>
      <c r="C93" s="59" t="n">
        <f aca="false">P93</f>
        <v>33411.6744388306</v>
      </c>
      <c r="D93" s="59" t="n">
        <f aca="false">AB93</f>
        <v>34748.1414163838</v>
      </c>
      <c r="E93" s="60" t="n">
        <f aca="false">E91/FX!E10</f>
        <v>28359.5474486262</v>
      </c>
      <c r="F93" s="60" t="n">
        <f aca="false">F91/FX!F10</f>
        <v>32417.8021225608</v>
      </c>
      <c r="G93" s="60" t="n">
        <f aca="false">G91/FX!G10</f>
        <v>32696.0602535902</v>
      </c>
      <c r="H93" s="60" t="n">
        <f aca="false">H91/FX!H10</f>
        <v>31576.911976912</v>
      </c>
      <c r="I93" s="60" t="n">
        <f aca="false">I91/FX!I10</f>
        <v>29933.0742709547</v>
      </c>
      <c r="J93" s="60" t="n">
        <f aca="false">J91/FX!J10</f>
        <v>29154.6682447957</v>
      </c>
      <c r="K93" s="60" t="n">
        <f aca="false">K91/FX!K10</f>
        <v>28626.4008507356</v>
      </c>
      <c r="L93" s="60" t="n">
        <f aca="false">L91/FX!L10</f>
        <v>28307.5845320381</v>
      </c>
      <c r="M93" s="60" t="n">
        <f aca="false">M91/FX!M10</f>
        <v>30884.0720156921</v>
      </c>
      <c r="N93" s="60" t="n">
        <f aca="false">N91/FX!N10</f>
        <v>34014.2274136777</v>
      </c>
      <c r="O93" s="60" t="n">
        <f aca="false">O91/FX!O10</f>
        <v>34696.7388403241</v>
      </c>
      <c r="P93" s="60" t="n">
        <f aca="false">P91/FX!P10</f>
        <v>33411.6744388306</v>
      </c>
      <c r="Q93" s="60" t="n">
        <f aca="false">Q91/FX!Q10</f>
        <v>28271.4168328567</v>
      </c>
      <c r="R93" s="60" t="n">
        <f aca="false">R91/FX!R10</f>
        <v>31281.3232310214</v>
      </c>
      <c r="S93" s="60" t="n">
        <f aca="false">S91/FX!S10</f>
        <v>32966.1854463129</v>
      </c>
      <c r="T93" s="60" t="n">
        <f aca="false">T91/FX!T10</f>
        <v>34302.6524238661</v>
      </c>
      <c r="U93" s="60" t="n">
        <f aca="false">U91/FX!U10</f>
        <v>34005.6597621876</v>
      </c>
      <c r="V93" s="60" t="n">
        <f aca="false">V91/FX!V10</f>
        <v>33411.6744388306</v>
      </c>
      <c r="W93" s="60" t="n">
        <f aca="false">W91/FX!W10</f>
        <v>31629.7184687596</v>
      </c>
      <c r="X93" s="60" t="n">
        <f aca="false">X91/FX!X10</f>
        <v>26877.8358819037</v>
      </c>
      <c r="Y93" s="60" t="n">
        <f aca="false">Y91/FX!Y10</f>
        <v>28511.2955211355</v>
      </c>
      <c r="Z93" s="60" t="n">
        <f aca="false">Z91/FX!Z10</f>
        <v>33560.1707696699</v>
      </c>
      <c r="AA93" s="60" t="n">
        <f aca="false">AA91/FX!AA10</f>
        <v>36084.6083939371</v>
      </c>
      <c r="AB93" s="60" t="n">
        <f aca="false">AB91/FX!AB10</f>
        <v>34748.1414163838</v>
      </c>
    </row>
    <row r="94" customFormat="false" ht="15" hidden="false" customHeight="false" outlineLevel="0" collapsed="false">
      <c r="A94" s="28" t="s">
        <v>724</v>
      </c>
      <c r="B94" s="58"/>
      <c r="C94" s="66" t="n">
        <f aca="false">P94</f>
        <v>45.0227848101266</v>
      </c>
      <c r="D94" s="66" t="n">
        <f aca="false">AB94</f>
        <v>45.0227848101266</v>
      </c>
      <c r="E94" s="72" t="n">
        <f aca="false">IFERROR(E91/AVERAGE(E89:E89)*30.4,0)</f>
        <v>52.6070235477856</v>
      </c>
      <c r="F94" s="72" t="n">
        <f aca="false">IFERROR(F91/AVERAGE(E89:F89)*30.4,0)</f>
        <v>49.7068388190006</v>
      </c>
      <c r="G94" s="72" t="n">
        <f aca="false">IFERROR(G91/AVERAGE(E89:G89)*30.4,0)</f>
        <v>48.9785135197763</v>
      </c>
      <c r="H94" s="72" t="n">
        <f aca="false">IFERROR(H91/AVERAGE(F89:H89)*30.4,0)</f>
        <v>43.5690272502116</v>
      </c>
      <c r="I94" s="72" t="n">
        <f aca="false">IFERROR(I91/AVERAGE(G89:I89)*30.4,0)</f>
        <v>45.8998295804189</v>
      </c>
      <c r="J94" s="72" t="n">
        <f aca="false">IFERROR(J91/AVERAGE(H89:J89)*30.4,0)</f>
        <v>46.0176679237189</v>
      </c>
      <c r="K94" s="72" t="n">
        <f aca="false">IFERROR(K91/AVERAGE(I89:K89)*30.4,0)</f>
        <v>45.6545790617106</v>
      </c>
      <c r="L94" s="72" t="n">
        <f aca="false">IFERROR(L91/AVERAGE(J89:L89)*30.4,0)</f>
        <v>46.3328344663695</v>
      </c>
      <c r="M94" s="72" t="n">
        <f aca="false">IFERROR(M91/AVERAGE(K89:M89)*30.4,0)</f>
        <v>47.2918189976911</v>
      </c>
      <c r="N94" s="72" t="n">
        <f aca="false">IFERROR(N91/AVERAGE(L89:N89)*30.4,0)</f>
        <v>50.5065171572154</v>
      </c>
      <c r="O94" s="72" t="n">
        <f aca="false">IFERROR(O91/AVERAGE(M89:O89)*30.4,0)</f>
        <v>45.9364887707985</v>
      </c>
      <c r="P94" s="72" t="n">
        <f aca="false">IFERROR(P91/AVERAGE(N89:P89)*30.4,0)</f>
        <v>45.0227848101266</v>
      </c>
      <c r="Q94" s="72" t="n">
        <f aca="false">IFERROR(Q91/AVERAGE(O89:Q89)*30.4,0)</f>
        <v>41.227397260274</v>
      </c>
      <c r="R94" s="72" t="n">
        <f aca="false">IFERROR(R91/AVERAGE(P89:R89)*30.4,0)</f>
        <v>46.2416589520459</v>
      </c>
      <c r="S94" s="72" t="n">
        <f aca="false">IFERROR(S91/AVERAGE(Q89:S89)*30.4,0)</f>
        <v>48.7503611779959</v>
      </c>
      <c r="T94" s="72" t="n">
        <f aca="false">IFERROR(T91/AVERAGE(R89:T89)*30.4,0)</f>
        <v>46.2</v>
      </c>
      <c r="U94" s="72" t="n">
        <f aca="false">IFERROR(U91/AVERAGE(S89:U89)*30.4,0)</f>
        <v>46.0017621145374</v>
      </c>
      <c r="V94" s="72" t="n">
        <f aca="false">IFERROR(V91/AVERAGE(T89:V89)*30.4,0)</f>
        <v>44.8034934497817</v>
      </c>
      <c r="W94" s="72" t="n">
        <f aca="false">IFERROR(W91/AVERAGE(U89:W89)*30.4,0)</f>
        <v>44.3506849315069</v>
      </c>
      <c r="X94" s="72" t="n">
        <f aca="false">IFERROR(X91/AVERAGE(V89:X89)*30.4,0)</f>
        <v>41.268</v>
      </c>
      <c r="Y94" s="72" t="n">
        <f aca="false">IFERROR(Y91/AVERAGE(W89:Y89)*30.4,0)</f>
        <v>45.3637305699482</v>
      </c>
      <c r="Z94" s="72" t="n">
        <f aca="false">IFERROR(Z91/AVERAGE(X89:Z89)*30.4,0)</f>
        <v>50.7665024630542</v>
      </c>
      <c r="AA94" s="72" t="n">
        <f aca="false">IFERROR(AA91/AVERAGE(Y89:AA89)*30.4,0)</f>
        <v>48.3877729257642</v>
      </c>
      <c r="AB94" s="72" t="n">
        <f aca="false">IFERROR(AB91/AVERAGE(Z89:AB89)*30.4,0)</f>
        <v>45.0227848101266</v>
      </c>
    </row>
    <row r="96" customFormat="false" ht="15" hidden="false" customHeight="false" outlineLevel="0" collapsed="false">
      <c r="A96" s="22" t="s">
        <v>728</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row>
    <row r="97" customFormat="false" ht="15" hidden="false" customHeight="false" outlineLevel="0" collapsed="false">
      <c r="A97" s="28" t="s">
        <v>331</v>
      </c>
      <c r="B97" s="58" t="s">
        <v>49</v>
      </c>
      <c r="C97" s="59" t="n">
        <f aca="false">SUM(E97:P97)</f>
        <v>0</v>
      </c>
      <c r="D97" s="59" t="n">
        <f aca="false">SUM(Q97:AB97)</f>
        <v>0</v>
      </c>
      <c r="E97" s="71" t="n">
        <f aca="false">0</f>
        <v>0</v>
      </c>
      <c r="F97" s="71" t="n">
        <f aca="false">0</f>
        <v>0</v>
      </c>
      <c r="G97" s="71" t="n">
        <f aca="false">0</f>
        <v>0</v>
      </c>
      <c r="H97" s="71" t="n">
        <f aca="false">0</f>
        <v>0</v>
      </c>
      <c r="I97" s="71" t="n">
        <f aca="false">0</f>
        <v>0</v>
      </c>
      <c r="J97" s="71" t="n">
        <f aca="false">0</f>
        <v>0</v>
      </c>
      <c r="K97" s="71" t="n">
        <f aca="false">0</f>
        <v>0</v>
      </c>
      <c r="L97" s="71" t="n">
        <f aca="false">0</f>
        <v>0</v>
      </c>
      <c r="M97" s="71" t="n">
        <f aca="false">0</f>
        <v>0</v>
      </c>
      <c r="N97" s="71" t="n">
        <f aca="false">0</f>
        <v>0</v>
      </c>
      <c r="O97" s="71" t="n">
        <f aca="false">0</f>
        <v>0</v>
      </c>
      <c r="P97" s="71" t="n">
        <f aca="false">0</f>
        <v>0</v>
      </c>
      <c r="Q97" s="71" t="n">
        <f aca="false">0</f>
        <v>0</v>
      </c>
      <c r="R97" s="71" t="n">
        <f aca="false">0</f>
        <v>0</v>
      </c>
      <c r="S97" s="71" t="n">
        <f aca="false">0</f>
        <v>0</v>
      </c>
      <c r="T97" s="71" t="n">
        <f aca="false">0</f>
        <v>0</v>
      </c>
      <c r="U97" s="71" t="n">
        <f aca="false">0</f>
        <v>0</v>
      </c>
      <c r="V97" s="71" t="n">
        <f aca="false">0</f>
        <v>0</v>
      </c>
      <c r="W97" s="71" t="n">
        <f aca="false">0</f>
        <v>0</v>
      </c>
      <c r="X97" s="71" t="n">
        <f aca="false">0</f>
        <v>0</v>
      </c>
      <c r="Y97" s="71" t="n">
        <f aca="false">0</f>
        <v>0</v>
      </c>
      <c r="Z97" s="71" t="n">
        <f aca="false">0</f>
        <v>0</v>
      </c>
      <c r="AA97" s="71" t="n">
        <f aca="false">0</f>
        <v>0</v>
      </c>
      <c r="AB97" s="71" t="n">
        <f aca="false">0</f>
        <v>0</v>
      </c>
    </row>
    <row r="98" customFormat="false" ht="15" hidden="false" customHeight="false" outlineLevel="0" collapsed="false">
      <c r="A98" s="28" t="s">
        <v>700</v>
      </c>
      <c r="B98" s="58" t="s">
        <v>51</v>
      </c>
      <c r="C98" s="59" t="n">
        <f aca="false">SUM(E98:P98)</f>
        <v>145000</v>
      </c>
      <c r="D98" s="59" t="n">
        <f aca="false">SUM(Q98:AB98)</f>
        <v>0</v>
      </c>
      <c r="E98" s="60" t="n">
        <f aca="false">Projects!E90</f>
        <v>0</v>
      </c>
      <c r="F98" s="60" t="n">
        <f aca="false">Projects!F90</f>
        <v>0</v>
      </c>
      <c r="G98" s="60" t="n">
        <f aca="false">Projects!G90</f>
        <v>7830</v>
      </c>
      <c r="H98" s="60" t="n">
        <f aca="false">Projects!H90</f>
        <v>21310</v>
      </c>
      <c r="I98" s="60" t="n">
        <f aca="false">Projects!I90</f>
        <v>29290</v>
      </c>
      <c r="J98" s="60" t="n">
        <f aca="false">Projects!J90</f>
        <v>32688</v>
      </c>
      <c r="K98" s="60" t="n">
        <f aca="false">Projects!K90</f>
        <v>29261</v>
      </c>
      <c r="L98" s="60" t="n">
        <f aca="false">Projects!L90</f>
        <v>15882.33</v>
      </c>
      <c r="M98" s="60" t="n">
        <f aca="false">Projects!M90</f>
        <v>8738.67000000001</v>
      </c>
      <c r="N98" s="60" t="n">
        <f aca="false">Projects!N90</f>
        <v>0</v>
      </c>
      <c r="O98" s="60" t="n">
        <f aca="false">Projects!O90</f>
        <v>0</v>
      </c>
      <c r="P98" s="60" t="n">
        <f aca="false">Projects!P90</f>
        <v>0</v>
      </c>
      <c r="Q98" s="60" t="n">
        <f aca="false">Projects!Q90</f>
        <v>0</v>
      </c>
      <c r="R98" s="60" t="n">
        <f aca="false">Projects!R90</f>
        <v>0</v>
      </c>
      <c r="S98" s="60" t="n">
        <f aca="false">Projects!S90</f>
        <v>0</v>
      </c>
      <c r="T98" s="60" t="n">
        <f aca="false">Projects!T90</f>
        <v>0</v>
      </c>
      <c r="U98" s="60" t="n">
        <f aca="false">Projects!U90</f>
        <v>0</v>
      </c>
      <c r="V98" s="60" t="n">
        <f aca="false">Projects!V90</f>
        <v>0</v>
      </c>
      <c r="W98" s="60" t="n">
        <f aca="false">Projects!W90</f>
        <v>0</v>
      </c>
      <c r="X98" s="60" t="n">
        <f aca="false">Projects!X90</f>
        <v>0</v>
      </c>
      <c r="Y98" s="60" t="n">
        <f aca="false">Projects!Y90</f>
        <v>0</v>
      </c>
      <c r="Z98" s="60" t="n">
        <f aca="false">Projects!Z90</f>
        <v>0</v>
      </c>
      <c r="AA98" s="60" t="n">
        <f aca="false">Projects!AA90</f>
        <v>0</v>
      </c>
      <c r="AB98" s="60" t="n">
        <f aca="false">Projects!AB90</f>
        <v>0</v>
      </c>
    </row>
    <row r="99" customFormat="false" ht="15" hidden="false" customHeight="false" outlineLevel="0" collapsed="false">
      <c r="A99" s="28" t="s">
        <v>333</v>
      </c>
      <c r="B99" s="58" t="s">
        <v>53</v>
      </c>
      <c r="C99" s="59" t="n">
        <f aca="false">SUM(E99:P99)</f>
        <v>14652.082853855</v>
      </c>
      <c r="D99" s="59" t="n">
        <f aca="false">SUM(Q99:AB99)</f>
        <v>60465.6</v>
      </c>
      <c r="E99" s="60" t="n">
        <f aca="false">TM_Media!E24</f>
        <v>0</v>
      </c>
      <c r="F99" s="60" t="n">
        <f aca="false">TM_Media!F24</f>
        <v>0</v>
      </c>
      <c r="G99" s="60" t="n">
        <f aca="false">TM_Media!G24</f>
        <v>0</v>
      </c>
      <c r="H99" s="60" t="n">
        <f aca="false">TM_Media!H24</f>
        <v>0</v>
      </c>
      <c r="I99" s="60" t="n">
        <f aca="false">TM_Media!I24</f>
        <v>0</v>
      </c>
      <c r="J99" s="60" t="n">
        <f aca="false">TM_Media!J24</f>
        <v>0</v>
      </c>
      <c r="K99" s="60" t="n">
        <f aca="false">TM_Media!K24</f>
        <v>0</v>
      </c>
      <c r="L99" s="60" t="n">
        <f aca="false">TM_Media!L24</f>
        <v>0</v>
      </c>
      <c r="M99" s="60" t="n">
        <f aca="false">TM_Media!M24</f>
        <v>0</v>
      </c>
      <c r="N99" s="60" t="n">
        <f aca="false">TM_Media!N24</f>
        <v>5486.16800920598</v>
      </c>
      <c r="O99" s="60" t="n">
        <f aca="false">TM_Media!O24</f>
        <v>5084.74108170311</v>
      </c>
      <c r="P99" s="60" t="n">
        <f aca="false">TM_Media!P24</f>
        <v>4081.17376294591</v>
      </c>
      <c r="Q99" s="60" t="n">
        <f aca="false">TM_Media!Q24</f>
        <v>5288.13072497123</v>
      </c>
      <c r="R99" s="60" t="n">
        <f aca="false">TM_Media!R24</f>
        <v>5079.38872266973</v>
      </c>
      <c r="S99" s="60" t="n">
        <f aca="false">TM_Media!S24</f>
        <v>5496.87272727273</v>
      </c>
      <c r="T99" s="60" t="n">
        <f aca="false">TM_Media!T24</f>
        <v>5218.5500575374</v>
      </c>
      <c r="U99" s="60" t="n">
        <f aca="false">TM_Media!U24</f>
        <v>5218.5500575374</v>
      </c>
      <c r="V99" s="60" t="n">
        <f aca="false">TM_Media!V24</f>
        <v>4801.06605293441</v>
      </c>
      <c r="W99" s="60" t="n">
        <f aca="false">TM_Media!W24</f>
        <v>3896.51737629459</v>
      </c>
      <c r="X99" s="60" t="n">
        <f aca="false">TM_Media!X24</f>
        <v>4731.48538550057</v>
      </c>
      <c r="Y99" s="60" t="n">
        <f aca="false">TM_Media!Y24</f>
        <v>5496.87272727273</v>
      </c>
      <c r="Z99" s="60" t="n">
        <f aca="false">TM_Media!Z24</f>
        <v>5705.61472957422</v>
      </c>
      <c r="AA99" s="60" t="n">
        <f aca="false">TM_Media!AA24</f>
        <v>5288.13072497123</v>
      </c>
      <c r="AB99" s="60" t="n">
        <f aca="false">TM_Media!AB24</f>
        <v>4244.42071346375</v>
      </c>
    </row>
    <row r="100" customFormat="false" ht="15" hidden="false" customHeight="false" outlineLevel="0" collapsed="false">
      <c r="A100" s="28" t="s">
        <v>334</v>
      </c>
      <c r="B100" s="58" t="s">
        <v>53</v>
      </c>
      <c r="C100" s="59" t="n">
        <f aca="false">SUM(E100:P100)</f>
        <v>0</v>
      </c>
      <c r="D100" s="59" t="n">
        <f aca="false">SUM(Q100:AB100)</f>
        <v>0</v>
      </c>
      <c r="E100" s="71" t="n">
        <f aca="false">0</f>
        <v>0</v>
      </c>
      <c r="F100" s="71" t="n">
        <f aca="false">0</f>
        <v>0</v>
      </c>
      <c r="G100" s="71" t="n">
        <f aca="false">0</f>
        <v>0</v>
      </c>
      <c r="H100" s="71" t="n">
        <f aca="false">0</f>
        <v>0</v>
      </c>
      <c r="I100" s="71" t="n">
        <f aca="false">0</f>
        <v>0</v>
      </c>
      <c r="J100" s="71" t="n">
        <f aca="false">0</f>
        <v>0</v>
      </c>
      <c r="K100" s="71" t="n">
        <f aca="false">0</f>
        <v>0</v>
      </c>
      <c r="L100" s="71" t="n">
        <f aca="false">0</f>
        <v>0</v>
      </c>
      <c r="M100" s="71" t="n">
        <f aca="false">0</f>
        <v>0</v>
      </c>
      <c r="N100" s="71" t="n">
        <f aca="false">0</f>
        <v>0</v>
      </c>
      <c r="O100" s="71" t="n">
        <f aca="false">0</f>
        <v>0</v>
      </c>
      <c r="P100" s="71" t="n">
        <f aca="false">0</f>
        <v>0</v>
      </c>
      <c r="Q100" s="71" t="n">
        <f aca="false">0</f>
        <v>0</v>
      </c>
      <c r="R100" s="71" t="n">
        <f aca="false">0</f>
        <v>0</v>
      </c>
      <c r="S100" s="71" t="n">
        <f aca="false">0</f>
        <v>0</v>
      </c>
      <c r="T100" s="71" t="n">
        <f aca="false">0</f>
        <v>0</v>
      </c>
      <c r="U100" s="71" t="n">
        <f aca="false">0</f>
        <v>0</v>
      </c>
      <c r="V100" s="71" t="n">
        <f aca="false">0</f>
        <v>0</v>
      </c>
      <c r="W100" s="71" t="n">
        <f aca="false">0</f>
        <v>0</v>
      </c>
      <c r="X100" s="71" t="n">
        <f aca="false">0</f>
        <v>0</v>
      </c>
      <c r="Y100" s="71" t="n">
        <f aca="false">0</f>
        <v>0</v>
      </c>
      <c r="Z100" s="71" t="n">
        <f aca="false">0</f>
        <v>0</v>
      </c>
      <c r="AA100" s="71" t="n">
        <f aca="false">0</f>
        <v>0</v>
      </c>
      <c r="AB100" s="71" t="n">
        <f aca="false">0</f>
        <v>0</v>
      </c>
    </row>
    <row r="101" customFormat="false" ht="15" hidden="false" customHeight="false" outlineLevel="0" collapsed="false">
      <c r="A101" s="28" t="s">
        <v>701</v>
      </c>
      <c r="B101" s="58" t="s">
        <v>51</v>
      </c>
      <c r="C101" s="59" t="n">
        <f aca="false">SUM(E101:P101)</f>
        <v>0</v>
      </c>
      <c r="D101" s="59" t="n">
        <f aca="false">SUM(Q101:AB101)</f>
        <v>0</v>
      </c>
      <c r="E101" s="71" t="n">
        <f aca="false">0</f>
        <v>0</v>
      </c>
      <c r="F101" s="71" t="n">
        <f aca="false">0</f>
        <v>0</v>
      </c>
      <c r="G101" s="71" t="n">
        <f aca="false">0</f>
        <v>0</v>
      </c>
      <c r="H101" s="71" t="n">
        <f aca="false">0</f>
        <v>0</v>
      </c>
      <c r="I101" s="71" t="n">
        <f aca="false">0</f>
        <v>0</v>
      </c>
      <c r="J101" s="71" t="n">
        <f aca="false">0</f>
        <v>0</v>
      </c>
      <c r="K101" s="71" t="n">
        <f aca="false">0</f>
        <v>0</v>
      </c>
      <c r="L101" s="71" t="n">
        <f aca="false">0</f>
        <v>0</v>
      </c>
      <c r="M101" s="71" t="n">
        <f aca="false">0</f>
        <v>0</v>
      </c>
      <c r="N101" s="71" t="n">
        <f aca="false">0</f>
        <v>0</v>
      </c>
      <c r="O101" s="71" t="n">
        <f aca="false">0</f>
        <v>0</v>
      </c>
      <c r="P101" s="71" t="n">
        <f aca="false">0</f>
        <v>0</v>
      </c>
      <c r="Q101" s="71" t="n">
        <f aca="false">0</f>
        <v>0</v>
      </c>
      <c r="R101" s="71" t="n">
        <f aca="false">0</f>
        <v>0</v>
      </c>
      <c r="S101" s="71" t="n">
        <f aca="false">0</f>
        <v>0</v>
      </c>
      <c r="T101" s="71" t="n">
        <f aca="false">0</f>
        <v>0</v>
      </c>
      <c r="U101" s="71" t="n">
        <f aca="false">0</f>
        <v>0</v>
      </c>
      <c r="V101" s="71" t="n">
        <f aca="false">0</f>
        <v>0</v>
      </c>
      <c r="W101" s="71" t="n">
        <f aca="false">0</f>
        <v>0</v>
      </c>
      <c r="X101" s="71" t="n">
        <f aca="false">0</f>
        <v>0</v>
      </c>
      <c r="Y101" s="71" t="n">
        <f aca="false">0</f>
        <v>0</v>
      </c>
      <c r="Z101" s="71" t="n">
        <f aca="false">0</f>
        <v>0</v>
      </c>
      <c r="AA101" s="71" t="n">
        <f aca="false">0</f>
        <v>0</v>
      </c>
      <c r="AB101" s="71" t="n">
        <f aca="false">0</f>
        <v>0</v>
      </c>
    </row>
    <row r="102" customFormat="false" ht="15" hidden="false" customHeight="false" outlineLevel="0" collapsed="false">
      <c r="A102" s="68" t="s">
        <v>702</v>
      </c>
      <c r="B102" s="69"/>
      <c r="C102" s="70" t="n">
        <f aca="false">SUM(E102:P102)</f>
        <v>159652.082853855</v>
      </c>
      <c r="D102" s="70" t="n">
        <f aca="false">SUM(Q102:AB102)</f>
        <v>60465.6</v>
      </c>
      <c r="E102" s="70" t="n">
        <f aca="false">SUM(E97:E101)</f>
        <v>0</v>
      </c>
      <c r="F102" s="70" t="n">
        <f aca="false">SUM(F97:F101)</f>
        <v>0</v>
      </c>
      <c r="G102" s="70" t="n">
        <f aca="false">SUM(G97:G101)</f>
        <v>7830</v>
      </c>
      <c r="H102" s="70" t="n">
        <f aca="false">SUM(H97:H101)</f>
        <v>21310</v>
      </c>
      <c r="I102" s="70" t="n">
        <f aca="false">SUM(I97:I101)</f>
        <v>29290</v>
      </c>
      <c r="J102" s="70" t="n">
        <f aca="false">SUM(J97:J101)</f>
        <v>32688</v>
      </c>
      <c r="K102" s="70" t="n">
        <f aca="false">SUM(K97:K101)</f>
        <v>29261</v>
      </c>
      <c r="L102" s="70" t="n">
        <f aca="false">SUM(L97:L101)</f>
        <v>15882.33</v>
      </c>
      <c r="M102" s="70" t="n">
        <f aca="false">SUM(M97:M101)</f>
        <v>8738.67000000001</v>
      </c>
      <c r="N102" s="70" t="n">
        <f aca="false">SUM(N97:N101)</f>
        <v>5486.16800920598</v>
      </c>
      <c r="O102" s="70" t="n">
        <f aca="false">SUM(O97:O101)</f>
        <v>5084.74108170311</v>
      </c>
      <c r="P102" s="70" t="n">
        <f aca="false">SUM(P97:P101)</f>
        <v>4081.17376294591</v>
      </c>
      <c r="Q102" s="70" t="n">
        <f aca="false">SUM(Q97:Q101)</f>
        <v>5288.13072497123</v>
      </c>
      <c r="R102" s="70" t="n">
        <f aca="false">SUM(R97:R101)</f>
        <v>5079.38872266973</v>
      </c>
      <c r="S102" s="70" t="n">
        <f aca="false">SUM(S97:S101)</f>
        <v>5496.87272727273</v>
      </c>
      <c r="T102" s="70" t="n">
        <f aca="false">SUM(T97:T101)</f>
        <v>5218.5500575374</v>
      </c>
      <c r="U102" s="70" t="n">
        <f aca="false">SUM(U97:U101)</f>
        <v>5218.5500575374</v>
      </c>
      <c r="V102" s="70" t="n">
        <f aca="false">SUM(V97:V101)</f>
        <v>4801.06605293441</v>
      </c>
      <c r="W102" s="70" t="n">
        <f aca="false">SUM(W97:W101)</f>
        <v>3896.51737629459</v>
      </c>
      <c r="X102" s="70" t="n">
        <f aca="false">SUM(X97:X101)</f>
        <v>4731.48538550057</v>
      </c>
      <c r="Y102" s="70" t="n">
        <f aca="false">SUM(Y97:Y101)</f>
        <v>5496.87272727273</v>
      </c>
      <c r="Z102" s="70" t="n">
        <f aca="false">SUM(Z97:Z101)</f>
        <v>5705.61472957422</v>
      </c>
      <c r="AA102" s="70" t="n">
        <f aca="false">SUM(AA97:AA101)</f>
        <v>5288.13072497123</v>
      </c>
      <c r="AB102" s="70" t="n">
        <f aca="false">SUM(AB97:AB101)</f>
        <v>4244.42071346375</v>
      </c>
    </row>
    <row r="103" customFormat="false" ht="15" hidden="false" customHeight="false" outlineLevel="0" collapsed="false">
      <c r="A103" s="28" t="s">
        <v>703</v>
      </c>
      <c r="B103" s="58"/>
      <c r="C103" s="59" t="n">
        <f aca="false">SUM(E103:P103)</f>
        <v>185087.718506308</v>
      </c>
      <c r="D103" s="59" t="n">
        <f aca="false">SUM(Q103:AB103)</f>
        <v>70597.7956286195</v>
      </c>
      <c r="E103" s="60" t="n">
        <f aca="false">E102/FX!E9</f>
        <v>0</v>
      </c>
      <c r="F103" s="60" t="n">
        <f aca="false">F102/FX!F9</f>
        <v>0</v>
      </c>
      <c r="G103" s="60" t="n">
        <f aca="false">G102/FX!G9</f>
        <v>8976.16672971765</v>
      </c>
      <c r="H103" s="60" t="n">
        <f aca="false">H102/FX!H9</f>
        <v>24570.78947065</v>
      </c>
      <c r="I103" s="60" t="n">
        <f aca="false">I102/FX!I9</f>
        <v>33793.2944135496</v>
      </c>
      <c r="J103" s="60" t="n">
        <f aca="false">J102/FX!J9</f>
        <v>37811.4517061886</v>
      </c>
      <c r="K103" s="60" t="n">
        <f aca="false">K102/FX!K9</f>
        <v>34073.9446870451</v>
      </c>
      <c r="L103" s="60" t="n">
        <f aca="false">L102/FX!L9</f>
        <v>18551.739846515</v>
      </c>
      <c r="M103" s="60" t="n">
        <f aca="false">M102/FX!M9</f>
        <v>10203.0053241173</v>
      </c>
      <c r="N103" s="60" t="n">
        <f aca="false">N102/FX!N9</f>
        <v>6405.48291752987</v>
      </c>
      <c r="O103" s="60" t="n">
        <f aca="false">O102/FX!O9</f>
        <v>5936.78904551549</v>
      </c>
      <c r="P103" s="60" t="n">
        <f aca="false">P102/FX!P9</f>
        <v>4765.05436547954</v>
      </c>
      <c r="Q103" s="60" t="n">
        <f aca="false">Q102/FX!Q9</f>
        <v>6174.26060733611</v>
      </c>
      <c r="R103" s="60" t="n">
        <f aca="false">R102/FX!R9</f>
        <v>5930.53979388863</v>
      </c>
      <c r="S103" s="60" t="n">
        <f aca="false">S102/FX!S9</f>
        <v>6417.98142078359</v>
      </c>
      <c r="T103" s="60" t="n">
        <f aca="false">T102/FX!T9</f>
        <v>6093.02033618695</v>
      </c>
      <c r="U103" s="60" t="n">
        <f aca="false">U102/FX!U9</f>
        <v>6093.02033618695</v>
      </c>
      <c r="V103" s="60" t="n">
        <f aca="false">V102/FX!V9</f>
        <v>5605.57870929199</v>
      </c>
      <c r="W103" s="60" t="n">
        <f aca="false">W102/FX!W9</f>
        <v>4549.45518435292</v>
      </c>
      <c r="X103" s="60" t="n">
        <f aca="false">X102/FX!X9</f>
        <v>5524.33843814283</v>
      </c>
      <c r="Y103" s="60" t="n">
        <f aca="false">Y102/FX!Y9</f>
        <v>6417.98142078359</v>
      </c>
      <c r="Z103" s="60" t="n">
        <f aca="false">Z102/FX!Z9</f>
        <v>6661.70223423107</v>
      </c>
      <c r="AA103" s="60" t="n">
        <f aca="false">AA102/FX!AA9</f>
        <v>6174.26060733611</v>
      </c>
      <c r="AB103" s="60" t="n">
        <f aca="false">AB102/FX!AB9</f>
        <v>4955.65654009872</v>
      </c>
    </row>
    <row r="104" customFormat="false" ht="15" hidden="false" customHeight="false" outlineLevel="0" collapsed="false">
      <c r="A104" s="28" t="s">
        <v>704</v>
      </c>
      <c r="B104" s="58" t="s">
        <v>51</v>
      </c>
      <c r="C104" s="59" t="n">
        <f aca="false">SUM(E104:P104)</f>
        <v>0</v>
      </c>
      <c r="D104" s="59" t="n">
        <f aca="false">SUM(Q104:AB104)</f>
        <v>0</v>
      </c>
      <c r="E104" s="71" t="n">
        <f aca="false">0</f>
        <v>0</v>
      </c>
      <c r="F104" s="71" t="n">
        <f aca="false">0</f>
        <v>0</v>
      </c>
      <c r="G104" s="71" t="n">
        <f aca="false">0</f>
        <v>0</v>
      </c>
      <c r="H104" s="71" t="n">
        <f aca="false">0</f>
        <v>0</v>
      </c>
      <c r="I104" s="71" t="n">
        <f aca="false">0</f>
        <v>0</v>
      </c>
      <c r="J104" s="71" t="n">
        <f aca="false">0</f>
        <v>0</v>
      </c>
      <c r="K104" s="71" t="n">
        <f aca="false">0</f>
        <v>0</v>
      </c>
      <c r="L104" s="71" t="n">
        <f aca="false">0</f>
        <v>0</v>
      </c>
      <c r="M104" s="71" t="n">
        <f aca="false">0</f>
        <v>0</v>
      </c>
      <c r="N104" s="71" t="n">
        <f aca="false">0</f>
        <v>0</v>
      </c>
      <c r="O104" s="71" t="n">
        <f aca="false">0</f>
        <v>0</v>
      </c>
      <c r="P104" s="71" t="n">
        <f aca="false">0</f>
        <v>0</v>
      </c>
      <c r="Q104" s="71" t="n">
        <f aca="false">0</f>
        <v>0</v>
      </c>
      <c r="R104" s="71" t="n">
        <f aca="false">0</f>
        <v>0</v>
      </c>
      <c r="S104" s="71" t="n">
        <f aca="false">0</f>
        <v>0</v>
      </c>
      <c r="T104" s="71" t="n">
        <f aca="false">0</f>
        <v>0</v>
      </c>
      <c r="U104" s="71" t="n">
        <f aca="false">0</f>
        <v>0</v>
      </c>
      <c r="V104" s="71" t="n">
        <f aca="false">0</f>
        <v>0</v>
      </c>
      <c r="W104" s="71" t="n">
        <f aca="false">0</f>
        <v>0</v>
      </c>
      <c r="X104" s="71" t="n">
        <f aca="false">0</f>
        <v>0</v>
      </c>
      <c r="Y104" s="71" t="n">
        <f aca="false">0</f>
        <v>0</v>
      </c>
      <c r="Z104" s="71" t="n">
        <f aca="false">0</f>
        <v>0</v>
      </c>
      <c r="AA104" s="71" t="n">
        <f aca="false">0</f>
        <v>0</v>
      </c>
      <c r="AB104" s="71" t="n">
        <f aca="false">0</f>
        <v>0</v>
      </c>
    </row>
    <row r="105" customFormat="false" ht="15" hidden="false" customHeight="false" outlineLevel="0" collapsed="false">
      <c r="A105" s="68" t="s">
        <v>705</v>
      </c>
      <c r="B105" s="69" t="s">
        <v>706</v>
      </c>
      <c r="C105" s="70" t="n">
        <f aca="false">SUM(E105:P105)</f>
        <v>185087.718506308</v>
      </c>
      <c r="D105" s="70" t="n">
        <f aca="false">SUM(Q105:AB105)</f>
        <v>70597.7956286195</v>
      </c>
      <c r="E105" s="70" t="n">
        <f aca="false">E103-E104</f>
        <v>0</v>
      </c>
      <c r="F105" s="70" t="n">
        <f aca="false">F103-F104</f>
        <v>0</v>
      </c>
      <c r="G105" s="70" t="n">
        <f aca="false">G103-G104</f>
        <v>8976.16672971765</v>
      </c>
      <c r="H105" s="70" t="n">
        <f aca="false">H103-H104</f>
        <v>24570.78947065</v>
      </c>
      <c r="I105" s="70" t="n">
        <f aca="false">I103-I104</f>
        <v>33793.2944135496</v>
      </c>
      <c r="J105" s="70" t="n">
        <f aca="false">J103-J104</f>
        <v>37811.4517061886</v>
      </c>
      <c r="K105" s="70" t="n">
        <f aca="false">K103-K104</f>
        <v>34073.9446870451</v>
      </c>
      <c r="L105" s="70" t="n">
        <f aca="false">L103-L104</f>
        <v>18551.739846515</v>
      </c>
      <c r="M105" s="70" t="n">
        <f aca="false">M103-M104</f>
        <v>10203.0053241173</v>
      </c>
      <c r="N105" s="70" t="n">
        <f aca="false">N103-N104</f>
        <v>6405.48291752987</v>
      </c>
      <c r="O105" s="70" t="n">
        <f aca="false">O103-O104</f>
        <v>5936.78904551549</v>
      </c>
      <c r="P105" s="70" t="n">
        <f aca="false">P103-P104</f>
        <v>4765.05436547954</v>
      </c>
      <c r="Q105" s="70" t="n">
        <f aca="false">Q103-Q104</f>
        <v>6174.26060733611</v>
      </c>
      <c r="R105" s="70" t="n">
        <f aca="false">R103-R104</f>
        <v>5930.53979388863</v>
      </c>
      <c r="S105" s="70" t="n">
        <f aca="false">S103-S104</f>
        <v>6417.98142078359</v>
      </c>
      <c r="T105" s="70" t="n">
        <f aca="false">T103-T104</f>
        <v>6093.02033618695</v>
      </c>
      <c r="U105" s="70" t="n">
        <f aca="false">U103-U104</f>
        <v>6093.02033618695</v>
      </c>
      <c r="V105" s="70" t="n">
        <f aca="false">V103-V104</f>
        <v>5605.57870929199</v>
      </c>
      <c r="W105" s="70" t="n">
        <f aca="false">W103-W104</f>
        <v>4549.45518435292</v>
      </c>
      <c r="X105" s="70" t="n">
        <f aca="false">X103-X104</f>
        <v>5524.33843814283</v>
      </c>
      <c r="Y105" s="70" t="n">
        <f aca="false">Y103-Y104</f>
        <v>6417.98142078359</v>
      </c>
      <c r="Z105" s="70" t="n">
        <f aca="false">Z103-Z104</f>
        <v>6661.70223423107</v>
      </c>
      <c r="AA105" s="70" t="n">
        <f aca="false">AA103-AA104</f>
        <v>6174.26060733611</v>
      </c>
      <c r="AB105" s="70" t="n">
        <f aca="false">AB103-AB104</f>
        <v>4955.65654009872</v>
      </c>
    </row>
    <row r="106" customFormat="false" ht="15" hidden="false" customHeight="false" outlineLevel="0" collapsed="false">
      <c r="A106" s="28" t="s">
        <v>707</v>
      </c>
      <c r="B106" s="58" t="s">
        <v>708</v>
      </c>
      <c r="C106" s="66" t="n">
        <f aca="false">SUM(E106:P106)</f>
        <v>1681.4499424626</v>
      </c>
      <c r="D106" s="66" t="n">
        <f aca="false">SUM(Q106:AB106)</f>
        <v>720</v>
      </c>
      <c r="E106" s="67" t="n">
        <f aca="false">Projects!E84+TM_Media!E21</f>
        <v>0</v>
      </c>
      <c r="F106" s="67" t="n">
        <f aca="false">Projects!F84+TM_Media!F21</f>
        <v>0</v>
      </c>
      <c r="G106" s="67" t="n">
        <f aca="false">Projects!G84+TM_Media!G21</f>
        <v>78.3</v>
      </c>
      <c r="H106" s="67" t="n">
        <f aca="false">Projects!H84+TM_Media!H21</f>
        <v>213.1</v>
      </c>
      <c r="I106" s="67" t="n">
        <f aca="false">Projects!I84+TM_Media!I21</f>
        <v>292.9</v>
      </c>
      <c r="J106" s="67" t="n">
        <f aca="false">Projects!J84+TM_Media!J21</f>
        <v>358.3</v>
      </c>
      <c r="K106" s="67" t="n">
        <f aca="false">Projects!K84+TM_Media!K21</f>
        <v>302.7</v>
      </c>
      <c r="L106" s="67" t="n">
        <f aca="false">Projects!L84+TM_Media!L21</f>
        <v>164.3</v>
      </c>
      <c r="M106" s="67" t="n">
        <f aca="false">Projects!M84+TM_Media!M21</f>
        <v>90.4000000000001</v>
      </c>
      <c r="N106" s="67" t="n">
        <f aca="false">Projects!N84+TM_Media!N21</f>
        <v>67.9401611047181</v>
      </c>
      <c r="O106" s="67" t="n">
        <f aca="false">Projects!O84+TM_Media!O21</f>
        <v>62.9689298043728</v>
      </c>
      <c r="P106" s="67" t="n">
        <f aca="false">Projects!P84+TM_Media!P21</f>
        <v>50.5408515535098</v>
      </c>
      <c r="Q106" s="67" t="n">
        <f aca="false">Projects!Q84+TM_Media!Q21</f>
        <v>62.9689298043728</v>
      </c>
      <c r="R106" s="67" t="n">
        <f aca="false">Projects!R84+TM_Media!R21</f>
        <v>60.4833141542002</v>
      </c>
      <c r="S106" s="67" t="n">
        <f aca="false">Projects!S84+TM_Media!S21</f>
        <v>65.4545454545455</v>
      </c>
      <c r="T106" s="67" t="n">
        <f aca="false">Projects!T84+TM_Media!T21</f>
        <v>62.1403912543153</v>
      </c>
      <c r="U106" s="67" t="n">
        <f aca="false">Projects!U84+TM_Media!U21</f>
        <v>62.1403912543153</v>
      </c>
      <c r="V106" s="67" t="n">
        <f aca="false">Projects!V84+TM_Media!V21</f>
        <v>57.1691599539701</v>
      </c>
      <c r="W106" s="67" t="n">
        <f aca="false">Projects!W84+TM_Media!W21</f>
        <v>46.3981588032221</v>
      </c>
      <c r="X106" s="67" t="n">
        <f aca="false">Projects!X84+TM_Media!X21</f>
        <v>56.3406214039125</v>
      </c>
      <c r="Y106" s="67" t="n">
        <f aca="false">Projects!Y84+TM_Media!Y21</f>
        <v>65.4545454545455</v>
      </c>
      <c r="Z106" s="67" t="n">
        <f aca="false">Projects!Z84+TM_Media!Z21</f>
        <v>67.9401611047181</v>
      </c>
      <c r="AA106" s="67" t="n">
        <f aca="false">Projects!AA84+TM_Media!AA21</f>
        <v>62.9689298043728</v>
      </c>
      <c r="AB106" s="67" t="n">
        <f aca="false">Projects!AB84+TM_Media!AB21</f>
        <v>50.5408515535098</v>
      </c>
    </row>
    <row r="107" customFormat="false" ht="15" hidden="false" customHeight="false" outlineLevel="0" collapsed="false">
      <c r="A107" s="28" t="s">
        <v>709</v>
      </c>
      <c r="B107" s="58" t="s">
        <v>710</v>
      </c>
      <c r="C107" s="59" t="n">
        <f aca="false">SUM(E107:P107)</f>
        <v>89365.2354695224</v>
      </c>
      <c r="D107" s="59" t="n">
        <f aca="false">SUM(Q107:AB107)</f>
        <v>41426.9188860759</v>
      </c>
      <c r="E107" s="60" t="n">
        <f aca="false">Projects!E84*Utilisation!E91+TM_Media!E21*Utilisation!E92</f>
        <v>0</v>
      </c>
      <c r="F107" s="60" t="n">
        <f aca="false">Projects!F84*Utilisation!F91+TM_Media!F21*Utilisation!F92</f>
        <v>0</v>
      </c>
      <c r="G107" s="60" t="n">
        <f aca="false">Projects!G84*Utilisation!G91+TM_Media!G21*Utilisation!G92</f>
        <v>4143.35703935558</v>
      </c>
      <c r="H107" s="60" t="n">
        <f aca="false">Projects!H84*Utilisation!H91+TM_Media!H21*Utilisation!H92</f>
        <v>11276.4927852704</v>
      </c>
      <c r="I107" s="60" t="n">
        <f aca="false">Projects!I84*Utilisation!I91+TM_Media!I21*Utilisation!I92</f>
        <v>15499.2244805524</v>
      </c>
      <c r="J107" s="60" t="n">
        <f aca="false">Projects!J84*Utilisation!J91+TM_Media!J21*Utilisation!J92</f>
        <v>18959.9594789413</v>
      </c>
      <c r="K107" s="60" t="n">
        <f aca="false">Projects!K84*Utilisation!K91+TM_Media!K21*Utilisation!K92</f>
        <v>16017.8055659379</v>
      </c>
      <c r="L107" s="60" t="n">
        <f aca="false">Projects!L84*Utilisation!L91+TM_Media!L21*Utilisation!L92</f>
        <v>8694.17064579977</v>
      </c>
      <c r="M107" s="60" t="n">
        <f aca="false">Projects!M84*Utilisation!M91+TM_Media!M21*Utilisation!M92</f>
        <v>4783.64593049483</v>
      </c>
      <c r="N107" s="60" t="n">
        <f aca="false">Projects!N84*Utilisation!N91+TM_Media!N21*Utilisation!N92</f>
        <v>3740.76494310485</v>
      </c>
      <c r="O107" s="60" t="n">
        <f aca="false">Projects!O84*Utilisation!O91+TM_Media!O21*Utilisation!O92</f>
        <v>3467.05043507279</v>
      </c>
      <c r="P107" s="60" t="n">
        <f aca="false">Projects!P84*Utilisation!P91+TM_Media!P21*Utilisation!P92</f>
        <v>2782.76416499263</v>
      </c>
      <c r="Q107" s="60" t="n">
        <f aca="false">Projects!Q84*Utilisation!Q91+TM_Media!Q21*Utilisation!Q92</f>
        <v>3623.06770465106</v>
      </c>
      <c r="R107" s="60" t="n">
        <f aca="false">Projects!R84*Utilisation!R91+TM_Media!R21*Utilisation!R92</f>
        <v>3480.05187420431</v>
      </c>
      <c r="S107" s="60" t="n">
        <f aca="false">Projects!S84*Utilisation!S91+TM_Media!S21*Utilisation!S92</f>
        <v>3766.08353509781</v>
      </c>
      <c r="T107" s="60" t="n">
        <f aca="false">Projects!T84*Utilisation!T91+TM_Media!T21*Utilisation!T92</f>
        <v>3575.39576116881</v>
      </c>
      <c r="U107" s="60" t="n">
        <f aca="false">Projects!U84*Utilisation!U91+TM_Media!U21*Utilisation!U92</f>
        <v>3575.39576116881</v>
      </c>
      <c r="V107" s="60" t="n">
        <f aca="false">Projects!V84*Utilisation!V91+TM_Media!V21*Utilisation!V92</f>
        <v>3289.3641002753</v>
      </c>
      <c r="W107" s="60" t="n">
        <f aca="false">Projects!W84*Utilisation!W91+TM_Media!W21*Utilisation!W92</f>
        <v>2669.62883500604</v>
      </c>
      <c r="X107" s="60" t="n">
        <f aca="false">Projects!X84*Utilisation!X91+TM_Media!X21*Utilisation!X92</f>
        <v>3241.69215679305</v>
      </c>
      <c r="Y107" s="60" t="n">
        <f aca="false">Projects!Y84*Utilisation!Y91+TM_Media!Y21*Utilisation!Y92</f>
        <v>3766.08353509781</v>
      </c>
      <c r="Z107" s="60" t="n">
        <f aca="false">Projects!Z84*Utilisation!Z91+TM_Media!Z21*Utilisation!Z92</f>
        <v>3909.09936554457</v>
      </c>
      <c r="AA107" s="60" t="n">
        <f aca="false">Projects!AA84*Utilisation!AA91+TM_Media!AA21*Utilisation!AA92</f>
        <v>3623.06770465106</v>
      </c>
      <c r="AB107" s="60" t="n">
        <f aca="false">Projects!AB84*Utilisation!AB91+TM_Media!AB21*Utilisation!AB92</f>
        <v>2907.9885524173</v>
      </c>
    </row>
    <row r="108" customFormat="false" ht="15" hidden="false" customHeight="false" outlineLevel="0" collapsed="false">
      <c r="A108" s="28" t="s">
        <v>711</v>
      </c>
      <c r="B108" s="58" t="s">
        <v>53</v>
      </c>
      <c r="C108" s="59" t="n">
        <f aca="false">SUM(E108:P108)</f>
        <v>0</v>
      </c>
      <c r="D108" s="59" t="n">
        <f aca="false">SUM(Q108:AB108)</f>
        <v>0</v>
      </c>
      <c r="E108" s="71" t="n">
        <f aca="false">0</f>
        <v>0</v>
      </c>
      <c r="F108" s="71" t="n">
        <f aca="false">0</f>
        <v>0</v>
      </c>
      <c r="G108" s="71" t="n">
        <f aca="false">0</f>
        <v>0</v>
      </c>
      <c r="H108" s="71" t="n">
        <f aca="false">0</f>
        <v>0</v>
      </c>
      <c r="I108" s="71" t="n">
        <f aca="false">0</f>
        <v>0</v>
      </c>
      <c r="J108" s="71" t="n">
        <f aca="false">0</f>
        <v>0</v>
      </c>
      <c r="K108" s="71" t="n">
        <f aca="false">0</f>
        <v>0</v>
      </c>
      <c r="L108" s="71" t="n">
        <f aca="false">0</f>
        <v>0</v>
      </c>
      <c r="M108" s="71" t="n">
        <f aca="false">0</f>
        <v>0</v>
      </c>
      <c r="N108" s="71" t="n">
        <f aca="false">0</f>
        <v>0</v>
      </c>
      <c r="O108" s="71" t="n">
        <f aca="false">0</f>
        <v>0</v>
      </c>
      <c r="P108" s="71" t="n">
        <f aca="false">0</f>
        <v>0</v>
      </c>
      <c r="Q108" s="71" t="n">
        <f aca="false">0</f>
        <v>0</v>
      </c>
      <c r="R108" s="71" t="n">
        <f aca="false">0</f>
        <v>0</v>
      </c>
      <c r="S108" s="71" t="n">
        <f aca="false">0</f>
        <v>0</v>
      </c>
      <c r="T108" s="71" t="n">
        <f aca="false">0</f>
        <v>0</v>
      </c>
      <c r="U108" s="71" t="n">
        <f aca="false">0</f>
        <v>0</v>
      </c>
      <c r="V108" s="71" t="n">
        <f aca="false">0</f>
        <v>0</v>
      </c>
      <c r="W108" s="71" t="n">
        <f aca="false">0</f>
        <v>0</v>
      </c>
      <c r="X108" s="71" t="n">
        <f aca="false">0</f>
        <v>0</v>
      </c>
      <c r="Y108" s="71" t="n">
        <f aca="false">0</f>
        <v>0</v>
      </c>
      <c r="Z108" s="71" t="n">
        <f aca="false">0</f>
        <v>0</v>
      </c>
      <c r="AA108" s="71" t="n">
        <f aca="false">0</f>
        <v>0</v>
      </c>
      <c r="AB108" s="71" t="n">
        <f aca="false">0</f>
        <v>0</v>
      </c>
    </row>
    <row r="109" customFormat="false" ht="15" hidden="false" customHeight="false" outlineLevel="0" collapsed="false">
      <c r="A109" s="28" t="s">
        <v>712</v>
      </c>
      <c r="B109" s="58" t="s">
        <v>713</v>
      </c>
      <c r="C109" s="59" t="n">
        <f aca="false">SUM(E109:P109)</f>
        <v>155570.909090909</v>
      </c>
      <c r="D109" s="59" t="n">
        <f aca="false">SUM(Q109:AB109)</f>
        <v>60302.3530494822</v>
      </c>
      <c r="E109" s="60" t="n">
        <f aca="false">Projects!E92+TM_Media!E25+E100+E108+E101</f>
        <v>0</v>
      </c>
      <c r="F109" s="60" t="n">
        <f aca="false">Projects!F92+TM_Media!F25+F100+F108+F101</f>
        <v>0</v>
      </c>
      <c r="G109" s="60" t="n">
        <f aca="false">Projects!G92+TM_Media!G25+G100+G108+G101</f>
        <v>43500</v>
      </c>
      <c r="H109" s="60" t="n">
        <f aca="false">Projects!H92+TM_Media!H25+H100+H108+H101</f>
        <v>0</v>
      </c>
      <c r="I109" s="60" t="n">
        <f aca="false">Projects!I92+TM_Media!I25+I100+I108+I101</f>
        <v>0</v>
      </c>
      <c r="J109" s="60" t="n">
        <f aca="false">Projects!J92+TM_Media!J25+J100+J108+J101</f>
        <v>58000</v>
      </c>
      <c r="K109" s="60" t="n">
        <f aca="false">Projects!K92+TM_Media!K25+K100+K108+K101</f>
        <v>0</v>
      </c>
      <c r="L109" s="60" t="n">
        <f aca="false">Projects!L92+TM_Media!L25+L100+L108+L101</f>
        <v>0</v>
      </c>
      <c r="M109" s="60" t="n">
        <f aca="false">Projects!M92+TM_Media!M25+M100+M108+M101</f>
        <v>43500</v>
      </c>
      <c r="N109" s="60" t="n">
        <f aca="false">Projects!N92+TM_Media!N25+N100+N108+N101</f>
        <v>0</v>
      </c>
      <c r="O109" s="60" t="n">
        <f aca="false">Projects!O92+TM_Media!O25+O100+O108+O101</f>
        <v>5486.16800920598</v>
      </c>
      <c r="P109" s="60" t="n">
        <f aca="false">Projects!P92+TM_Media!P25+P100+P108+P101</f>
        <v>5084.74108170311</v>
      </c>
      <c r="Q109" s="60" t="n">
        <f aca="false">Projects!Q92+TM_Media!Q25+Q100+Q108+Q101</f>
        <v>4081.17376294591</v>
      </c>
      <c r="R109" s="60" t="n">
        <f aca="false">Projects!R92+TM_Media!R25+R100+R108+R101</f>
        <v>5288.13072497123</v>
      </c>
      <c r="S109" s="60" t="n">
        <f aca="false">Projects!S92+TM_Media!S25+S100+S108+S101</f>
        <v>5079.38872266973</v>
      </c>
      <c r="T109" s="60" t="n">
        <f aca="false">Projects!T92+TM_Media!T25+T100+T108+T101</f>
        <v>5496.87272727273</v>
      </c>
      <c r="U109" s="60" t="n">
        <f aca="false">Projects!U92+TM_Media!U25+U100+U108+U101</f>
        <v>5218.5500575374</v>
      </c>
      <c r="V109" s="60" t="n">
        <f aca="false">Projects!V92+TM_Media!V25+V100+V108+V101</f>
        <v>5218.5500575374</v>
      </c>
      <c r="W109" s="60" t="n">
        <f aca="false">Projects!W92+TM_Media!W25+W100+W108+W101</f>
        <v>4801.06605293441</v>
      </c>
      <c r="X109" s="60" t="n">
        <f aca="false">Projects!X92+TM_Media!X25+X100+X108+X101</f>
        <v>3896.51737629459</v>
      </c>
      <c r="Y109" s="60" t="n">
        <f aca="false">Projects!Y92+TM_Media!Y25+Y100+Y108+Y101</f>
        <v>4731.48538550057</v>
      </c>
      <c r="Z109" s="60" t="n">
        <f aca="false">Projects!Z92+TM_Media!Z25+Z100+Z108+Z101</f>
        <v>5496.87272727273</v>
      </c>
      <c r="AA109" s="60" t="n">
        <f aca="false">Projects!AA92+TM_Media!AA25+AA100+AA108+AA101</f>
        <v>5705.61472957422</v>
      </c>
      <c r="AB109" s="60" t="n">
        <f aca="false">Projects!AB92+TM_Media!AB25+AB100+AB108+AB101</f>
        <v>5288.13072497123</v>
      </c>
    </row>
    <row r="110" customFormat="false" ht="15" hidden="false" customHeight="false" outlineLevel="0" collapsed="false">
      <c r="A110" s="28" t="s">
        <v>714</v>
      </c>
      <c r="B110" s="58" t="s">
        <v>715</v>
      </c>
      <c r="C110" s="59" t="n">
        <f aca="false">SUM(E110:P110)</f>
        <v>0</v>
      </c>
      <c r="D110" s="59" t="n">
        <f aca="false">SUM(Q110:AB110)</f>
        <v>0</v>
      </c>
      <c r="E110" s="60" t="n">
        <f aca="false">E109*Client_Register!$F$11</f>
        <v>0</v>
      </c>
      <c r="F110" s="60" t="n">
        <f aca="false">F109*Client_Register!$F$11</f>
        <v>0</v>
      </c>
      <c r="G110" s="60" t="n">
        <f aca="false">G109*Client_Register!$F$11</f>
        <v>0</v>
      </c>
      <c r="H110" s="60" t="n">
        <f aca="false">H109*Client_Register!$F$11</f>
        <v>0</v>
      </c>
      <c r="I110" s="60" t="n">
        <f aca="false">I109*Client_Register!$F$11</f>
        <v>0</v>
      </c>
      <c r="J110" s="60" t="n">
        <f aca="false">J109*Client_Register!$F$11</f>
        <v>0</v>
      </c>
      <c r="K110" s="60" t="n">
        <f aca="false">K109*Client_Register!$F$11</f>
        <v>0</v>
      </c>
      <c r="L110" s="60" t="n">
        <f aca="false">L109*Client_Register!$F$11</f>
        <v>0</v>
      </c>
      <c r="M110" s="60" t="n">
        <f aca="false">M109*Client_Register!$F$11</f>
        <v>0</v>
      </c>
      <c r="N110" s="60" t="n">
        <f aca="false">N109*Client_Register!$F$11</f>
        <v>0</v>
      </c>
      <c r="O110" s="60" t="n">
        <f aca="false">O109*Client_Register!$F$11</f>
        <v>0</v>
      </c>
      <c r="P110" s="60" t="n">
        <f aca="false">P109*Client_Register!$F$11</f>
        <v>0</v>
      </c>
      <c r="Q110" s="60" t="n">
        <f aca="false">Q109*Client_Register!$F$11</f>
        <v>0</v>
      </c>
      <c r="R110" s="60" t="n">
        <f aca="false">R109*Client_Register!$F$11</f>
        <v>0</v>
      </c>
      <c r="S110" s="60" t="n">
        <f aca="false">S109*Client_Register!$F$11</f>
        <v>0</v>
      </c>
      <c r="T110" s="60" t="n">
        <f aca="false">T109*Client_Register!$F$11</f>
        <v>0</v>
      </c>
      <c r="U110" s="60" t="n">
        <f aca="false">U109*Client_Register!$F$11</f>
        <v>0</v>
      </c>
      <c r="V110" s="60" t="n">
        <f aca="false">V109*Client_Register!$F$11</f>
        <v>0</v>
      </c>
      <c r="W110" s="60" t="n">
        <f aca="false">W109*Client_Register!$F$11</f>
        <v>0</v>
      </c>
      <c r="X110" s="60" t="n">
        <f aca="false">X109*Client_Register!$F$11</f>
        <v>0</v>
      </c>
      <c r="Y110" s="60" t="n">
        <f aca="false">Y109*Client_Register!$F$11</f>
        <v>0</v>
      </c>
      <c r="Z110" s="60" t="n">
        <f aca="false">Z109*Client_Register!$F$11</f>
        <v>0</v>
      </c>
      <c r="AA110" s="60" t="n">
        <f aca="false">AA109*Client_Register!$F$11</f>
        <v>0</v>
      </c>
      <c r="AB110" s="60" t="n">
        <f aca="false">AB109*Client_Register!$F$11</f>
        <v>0</v>
      </c>
    </row>
    <row r="111" customFormat="false" ht="15" hidden="false" customHeight="false" outlineLevel="0" collapsed="false">
      <c r="A111" s="68" t="s">
        <v>716</v>
      </c>
      <c r="B111" s="69"/>
      <c r="C111" s="70" t="n">
        <f aca="false">SUM(E111:P111)</f>
        <v>155570.909090909</v>
      </c>
      <c r="D111" s="70" t="n">
        <f aca="false">SUM(Q111:AB111)</f>
        <v>60302.3530494822</v>
      </c>
      <c r="E111" s="70" t="n">
        <f aca="false">E109+E110</f>
        <v>0</v>
      </c>
      <c r="F111" s="70" t="n">
        <f aca="false">F109+F110</f>
        <v>0</v>
      </c>
      <c r="G111" s="70" t="n">
        <f aca="false">G109+G110</f>
        <v>43500</v>
      </c>
      <c r="H111" s="70" t="n">
        <f aca="false">H109+H110</f>
        <v>0</v>
      </c>
      <c r="I111" s="70" t="n">
        <f aca="false">I109+I110</f>
        <v>0</v>
      </c>
      <c r="J111" s="70" t="n">
        <f aca="false">J109+J110</f>
        <v>58000</v>
      </c>
      <c r="K111" s="70" t="n">
        <f aca="false">K109+K110</f>
        <v>0</v>
      </c>
      <c r="L111" s="70" t="n">
        <f aca="false">L109+L110</f>
        <v>0</v>
      </c>
      <c r="M111" s="70" t="n">
        <f aca="false">M109+M110</f>
        <v>43500</v>
      </c>
      <c r="N111" s="70" t="n">
        <f aca="false">N109+N110</f>
        <v>0</v>
      </c>
      <c r="O111" s="70" t="n">
        <f aca="false">O109+O110</f>
        <v>5486.16800920598</v>
      </c>
      <c r="P111" s="70" t="n">
        <f aca="false">P109+P110</f>
        <v>5084.74108170311</v>
      </c>
      <c r="Q111" s="70" t="n">
        <f aca="false">Q109+Q110</f>
        <v>4081.17376294591</v>
      </c>
      <c r="R111" s="70" t="n">
        <f aca="false">R109+R110</f>
        <v>5288.13072497123</v>
      </c>
      <c r="S111" s="70" t="n">
        <f aca="false">S109+S110</f>
        <v>5079.38872266973</v>
      </c>
      <c r="T111" s="70" t="n">
        <f aca="false">T109+T110</f>
        <v>5496.87272727273</v>
      </c>
      <c r="U111" s="70" t="n">
        <f aca="false">U109+U110</f>
        <v>5218.5500575374</v>
      </c>
      <c r="V111" s="70" t="n">
        <f aca="false">V109+V110</f>
        <v>5218.5500575374</v>
      </c>
      <c r="W111" s="70" t="n">
        <f aca="false">W109+W110</f>
        <v>4801.06605293441</v>
      </c>
      <c r="X111" s="70" t="n">
        <f aca="false">X109+X110</f>
        <v>3896.51737629459</v>
      </c>
      <c r="Y111" s="70" t="n">
        <f aca="false">Y109+Y110</f>
        <v>4731.48538550057</v>
      </c>
      <c r="Z111" s="70" t="n">
        <f aca="false">Z109+Z110</f>
        <v>5496.87272727273</v>
      </c>
      <c r="AA111" s="70" t="n">
        <f aca="false">AA109+AA110</f>
        <v>5705.61472957422</v>
      </c>
      <c r="AB111" s="70" t="n">
        <f aca="false">AB109+AB110</f>
        <v>5288.13072497123</v>
      </c>
    </row>
    <row r="112" customFormat="false" ht="15" hidden="false" customHeight="false" outlineLevel="0" collapsed="false">
      <c r="A112" s="28" t="s">
        <v>717</v>
      </c>
      <c r="B112" s="58" t="s">
        <v>718</v>
      </c>
      <c r="C112" s="59" t="n">
        <f aca="false">SUM(E112:P112)</f>
        <v>150486.168009206</v>
      </c>
      <c r="D112" s="59" t="n">
        <f aca="false">SUM(Q112:AB112)</f>
        <v>60098.963406214</v>
      </c>
      <c r="E112" s="60" t="n">
        <f aca="false">IF(E$5="A",Inputs_Actuals!E117,Client_Register!$T$11+E111-(E111*MIN(1,Client_Register!$J$11/30)+0*MIN(1,MAX(0,(Client_Register!$J$11-30)/30))+0*MIN(1,MAX(0,(Client_Register!$J$11-60)/30))))</f>
        <v>0</v>
      </c>
      <c r="F112" s="60" t="n">
        <f aca="false">IF(F$5="A",Inputs_Actuals!F117,E113+F111-(F111*MIN(1,Client_Register!$J$11/30)+E111*MIN(1,MAX(0,(Client_Register!$J$11-30)/30))+0*MIN(1,MAX(0,(Client_Register!$J$11-60)/30))))</f>
        <v>0</v>
      </c>
      <c r="G112" s="60" t="n">
        <f aca="false">IF(G$5="A",Inputs_Actuals!G117,F113+G111-(G111*MIN(1,Client_Register!$J$11/30)+F111*MIN(1,MAX(0,(Client_Register!$J$11-30)/30))+E111*MIN(1,MAX(0,(Client_Register!$J$11-60)/30))))</f>
        <v>6145.72</v>
      </c>
      <c r="H112" s="60" t="n">
        <f aca="false">IF(H$5="A",Inputs_Actuals!H117,G113+H111-(H111*MIN(1,Client_Register!$J$11/30)+G111*MIN(1,MAX(0,(Client_Register!$J$11-30)/30))+F111*MIN(1,MAX(0,(Client_Register!$J$11-60)/30))))</f>
        <v>37354.28</v>
      </c>
      <c r="I112" s="60" t="n">
        <f aca="false">IF(I$5="A",Inputs_Actuals!I117,H113+I111-(I111*MIN(1,Client_Register!$J$11/30)+H111*MIN(1,MAX(0,(Client_Register!$J$11-30)/30))+G111*MIN(1,MAX(0,(Client_Register!$J$11-60)/30))))</f>
        <v>0</v>
      </c>
      <c r="J112" s="60" t="n">
        <f aca="false">IF(J$5="A",Inputs_Actuals!J117,I113+J111-(J111*MIN(1,Client_Register!$J$11/30)+I111*MIN(1,MAX(0,(Client_Register!$J$11-30)/30))+H111*MIN(1,MAX(0,(Client_Register!$J$11-60)/30))))</f>
        <v>-720.54</v>
      </c>
      <c r="K112" s="60" t="n">
        <f aca="false">IF(K$5="A",Inputs_Actuals!K117,J113+K111-(K111*MIN(1,Client_Register!$J$11/30)+J111*MIN(1,MAX(0,(Client_Register!$J$11-30)/30))+I111*MIN(1,MAX(0,(Client_Register!$J$11-60)/30))))</f>
        <v>58720.54</v>
      </c>
      <c r="L112" s="60" t="n">
        <f aca="false">IF(L$5="A",Inputs_Actuals!L117,K113+L111-(L111*MIN(1,Client_Register!$J$11/30)+K111*MIN(1,MAX(0,(Client_Register!$J$11-30)/30))+J111*MIN(1,MAX(0,(Client_Register!$J$11-60)/30))))</f>
        <v>0</v>
      </c>
      <c r="M112" s="60" t="n">
        <f aca="false">IF(M$5="A",Inputs_Actuals!M117,L113+M111-(M111*MIN(1,Client_Register!$J$11/30)+L111*MIN(1,MAX(0,(Client_Register!$J$11-30)/30))+K111*MIN(1,MAX(0,(Client_Register!$J$11-60)/30))))</f>
        <v>0</v>
      </c>
      <c r="N112" s="60" t="n">
        <f aca="false">IF(N$5="A",Inputs_Actuals!N117,M113+N111-(N111*MIN(1,Client_Register!$J$11/30)+M111*MIN(1,MAX(0,(Client_Register!$J$11-30)/30))+L111*MIN(1,MAX(0,(Client_Register!$J$11-60)/30))))</f>
        <v>43500</v>
      </c>
      <c r="O112" s="60" t="n">
        <f aca="false">IF(O$5="A",Inputs_Actuals!O117,N113+O111-(O111*MIN(1,Client_Register!$J$11/30)+N111*MIN(1,MAX(0,(Client_Register!$J$11-30)/30))+M111*MIN(1,MAX(0,(Client_Register!$J$11-60)/30))))</f>
        <v>0</v>
      </c>
      <c r="P112" s="60" t="n">
        <f aca="false">IF(P$5="A",Inputs_Actuals!P117,O113+P111-(P111*MIN(1,Client_Register!$J$11/30)+O111*MIN(1,MAX(0,(Client_Register!$J$11-30)/30))+N111*MIN(1,MAX(0,(Client_Register!$J$11-60)/30))))</f>
        <v>5486.16800920598</v>
      </c>
      <c r="Q112" s="60" t="n">
        <f aca="false">IF(Q$5="A",Inputs_Actuals!Q117,P113+Q111-(Q111*MIN(1,Client_Register!$J$11/30)+P111*MIN(1,MAX(0,(Client_Register!$J$11-30)/30))+O111*MIN(1,MAX(0,(Client_Register!$J$11-60)/30))))</f>
        <v>5084.74108170311</v>
      </c>
      <c r="R112" s="60" t="n">
        <f aca="false">IF(R$5="A",Inputs_Actuals!R117,Q113+R111-(R111*MIN(1,Client_Register!$J$11/30)+Q111*MIN(1,MAX(0,(Client_Register!$J$11-30)/30))+P111*MIN(1,MAX(0,(Client_Register!$J$11-60)/30))))</f>
        <v>4081.17376294591</v>
      </c>
      <c r="S112" s="60" t="n">
        <f aca="false">IF(S$5="A",Inputs_Actuals!S117,R113+S111-(S111*MIN(1,Client_Register!$J$11/30)+R111*MIN(1,MAX(0,(Client_Register!$J$11-30)/30))+Q111*MIN(1,MAX(0,(Client_Register!$J$11-60)/30))))</f>
        <v>5288.13072497123</v>
      </c>
      <c r="T112" s="60" t="n">
        <f aca="false">IF(T$5="A",Inputs_Actuals!T117,S113+T111-(T111*MIN(1,Client_Register!$J$11/30)+S111*MIN(1,MAX(0,(Client_Register!$J$11-30)/30))+R111*MIN(1,MAX(0,(Client_Register!$J$11-60)/30))))</f>
        <v>5079.38872266973</v>
      </c>
      <c r="U112" s="60" t="n">
        <f aca="false">IF(U$5="A",Inputs_Actuals!U117,T113+U111-(U111*MIN(1,Client_Register!$J$11/30)+T111*MIN(1,MAX(0,(Client_Register!$J$11-30)/30))+S111*MIN(1,MAX(0,(Client_Register!$J$11-60)/30))))</f>
        <v>5496.87272727273</v>
      </c>
      <c r="V112" s="60" t="n">
        <f aca="false">IF(V$5="A",Inputs_Actuals!V117,U113+V111-(V111*MIN(1,Client_Register!$J$11/30)+U111*MIN(1,MAX(0,(Client_Register!$J$11-30)/30))+T111*MIN(1,MAX(0,(Client_Register!$J$11-60)/30))))</f>
        <v>5218.5500575374</v>
      </c>
      <c r="W112" s="60" t="n">
        <f aca="false">IF(W$5="A",Inputs_Actuals!W117,V113+W111-(W111*MIN(1,Client_Register!$J$11/30)+V111*MIN(1,MAX(0,(Client_Register!$J$11-30)/30))+U111*MIN(1,MAX(0,(Client_Register!$J$11-60)/30))))</f>
        <v>5218.5500575374</v>
      </c>
      <c r="X112" s="60" t="n">
        <f aca="false">IF(X$5="A",Inputs_Actuals!X117,W113+X111-(X111*MIN(1,Client_Register!$J$11/30)+W111*MIN(1,MAX(0,(Client_Register!$J$11-30)/30))+V111*MIN(1,MAX(0,(Client_Register!$J$11-60)/30))))</f>
        <v>4801.06605293441</v>
      </c>
      <c r="Y112" s="60" t="n">
        <f aca="false">IF(Y$5="A",Inputs_Actuals!Y117,X113+Y111-(Y111*MIN(1,Client_Register!$J$11/30)+X111*MIN(1,MAX(0,(Client_Register!$J$11-30)/30))+W111*MIN(1,MAX(0,(Client_Register!$J$11-60)/30))))</f>
        <v>3896.51737629459</v>
      </c>
      <c r="Z112" s="60" t="n">
        <f aca="false">IF(Z$5="A",Inputs_Actuals!Z117,Y113+Z111-(Z111*MIN(1,Client_Register!$J$11/30)+Y111*MIN(1,MAX(0,(Client_Register!$J$11-30)/30))+X111*MIN(1,MAX(0,(Client_Register!$J$11-60)/30))))</f>
        <v>4731.48538550058</v>
      </c>
      <c r="AA112" s="60" t="n">
        <f aca="false">IF(AA$5="A",Inputs_Actuals!AA117,Z113+AA111-(AA111*MIN(1,Client_Register!$J$11/30)+Z111*MIN(1,MAX(0,(Client_Register!$J$11-30)/30))+Y111*MIN(1,MAX(0,(Client_Register!$J$11-60)/30))))</f>
        <v>5496.87272727273</v>
      </c>
      <c r="AB112" s="60" t="n">
        <f aca="false">IF(AB$5="A",Inputs_Actuals!AB117,AA113+AB111-(AB111*MIN(1,Client_Register!$J$11/30)+AA111*MIN(1,MAX(0,(Client_Register!$J$11-30)/30))+Z111*MIN(1,MAX(0,(Client_Register!$J$11-60)/30))))</f>
        <v>5705.61472957422</v>
      </c>
    </row>
    <row r="113" customFormat="false" ht="15" hidden="false" customHeight="false" outlineLevel="0" collapsed="false">
      <c r="A113" s="68" t="s">
        <v>719</v>
      </c>
      <c r="B113" s="69" t="s">
        <v>720</v>
      </c>
      <c r="C113" s="70" t="n">
        <f aca="false">P113</f>
        <v>5084.74108170311</v>
      </c>
      <c r="D113" s="70" t="n">
        <f aca="false">AB113</f>
        <v>5288.13072497123</v>
      </c>
      <c r="E113" s="74" t="n">
        <f aca="false">Client_Register!$T$11+E111-E112</f>
        <v>0</v>
      </c>
      <c r="F113" s="70" t="n">
        <f aca="false">E113+F111-F112</f>
        <v>0</v>
      </c>
      <c r="G113" s="70" t="n">
        <f aca="false">F113+G111-G112</f>
        <v>37354.28</v>
      </c>
      <c r="H113" s="70" t="n">
        <f aca="false">G113+H111-H112</f>
        <v>0</v>
      </c>
      <c r="I113" s="70" t="n">
        <f aca="false">H113+I111-I112</f>
        <v>0</v>
      </c>
      <c r="J113" s="70" t="n">
        <f aca="false">I113+J111-J112</f>
        <v>58720.54</v>
      </c>
      <c r="K113" s="70" t="n">
        <f aca="false">J113+K111-K112</f>
        <v>0</v>
      </c>
      <c r="L113" s="70" t="n">
        <f aca="false">K113+L111-L112</f>
        <v>0</v>
      </c>
      <c r="M113" s="70" t="n">
        <f aca="false">L113+M111-M112</f>
        <v>43500</v>
      </c>
      <c r="N113" s="70" t="n">
        <f aca="false">M113+N111-N112</f>
        <v>0</v>
      </c>
      <c r="O113" s="70" t="n">
        <f aca="false">N113+O111-O112</f>
        <v>5486.16800920598</v>
      </c>
      <c r="P113" s="70" t="n">
        <f aca="false">O113+P111-P112</f>
        <v>5084.74108170311</v>
      </c>
      <c r="Q113" s="70" t="n">
        <f aca="false">P113+Q111-Q112</f>
        <v>4081.17376294591</v>
      </c>
      <c r="R113" s="70" t="n">
        <f aca="false">Q113+R111-R112</f>
        <v>5288.13072497123</v>
      </c>
      <c r="S113" s="70" t="n">
        <f aca="false">R113+S111-S112</f>
        <v>5079.38872266973</v>
      </c>
      <c r="T113" s="70" t="n">
        <f aca="false">S113+T111-T112</f>
        <v>5496.87272727273</v>
      </c>
      <c r="U113" s="70" t="n">
        <f aca="false">T113+U111-U112</f>
        <v>5218.5500575374</v>
      </c>
      <c r="V113" s="70" t="n">
        <f aca="false">U113+V111-V112</f>
        <v>5218.5500575374</v>
      </c>
      <c r="W113" s="70" t="n">
        <f aca="false">V113+W111-W112</f>
        <v>4801.06605293441</v>
      </c>
      <c r="X113" s="70" t="n">
        <f aca="false">W113+X111-X112</f>
        <v>3896.51737629459</v>
      </c>
      <c r="Y113" s="70" t="n">
        <f aca="false">X113+Y111-Y112</f>
        <v>4731.48538550057</v>
      </c>
      <c r="Z113" s="70" t="n">
        <f aca="false">Y113+Z111-Z112</f>
        <v>5496.87272727273</v>
      </c>
      <c r="AA113" s="70" t="n">
        <f aca="false">Z113+AA111-AA112</f>
        <v>5705.61472957422</v>
      </c>
      <c r="AB113" s="70" t="n">
        <f aca="false">AA113+AB111-AB112</f>
        <v>5288.13072497123</v>
      </c>
    </row>
    <row r="114" customFormat="false" ht="15" hidden="false" customHeight="false" outlineLevel="0" collapsed="false">
      <c r="A114" s="28" t="s">
        <v>721</v>
      </c>
      <c r="B114" s="58" t="s">
        <v>722</v>
      </c>
      <c r="C114" s="59" t="n">
        <f aca="false">P114</f>
        <v>4081.17376294591</v>
      </c>
      <c r="D114" s="59" t="n">
        <f aca="false">AB114</f>
        <v>4244.42071346375</v>
      </c>
      <c r="E114" s="60" t="n">
        <f aca="false">Client_Register!$U$11+E102-(E109-E108)</f>
        <v>0</v>
      </c>
      <c r="F114" s="71" t="n">
        <f aca="false">E114+F102-(F109-F108)</f>
        <v>0</v>
      </c>
      <c r="G114" s="71" t="n">
        <f aca="false">F114+G102-(G109-G108)</f>
        <v>-35670</v>
      </c>
      <c r="H114" s="71" t="n">
        <f aca="false">G114+H102-(H109-H108)</f>
        <v>-14360</v>
      </c>
      <c r="I114" s="71" t="n">
        <f aca="false">H114+I102-(I109-I108)</f>
        <v>14930</v>
      </c>
      <c r="J114" s="71" t="n">
        <f aca="false">I114+J102-(J109-J108)</f>
        <v>-10382</v>
      </c>
      <c r="K114" s="71" t="n">
        <f aca="false">J114+K102-(K109-K108)</f>
        <v>18879</v>
      </c>
      <c r="L114" s="71" t="n">
        <f aca="false">K114+L102-(L109-L108)</f>
        <v>34761.33</v>
      </c>
      <c r="M114" s="71" t="n">
        <f aca="false">L114+M102-(M109-M108)</f>
        <v>0</v>
      </c>
      <c r="N114" s="71" t="n">
        <f aca="false">M114+N102-(N109-N108)</f>
        <v>5486.16800920598</v>
      </c>
      <c r="O114" s="71" t="n">
        <f aca="false">N114+O102-(O109-O108)</f>
        <v>5084.74108170311</v>
      </c>
      <c r="P114" s="71" t="n">
        <f aca="false">O114+P102-(P109-P108)</f>
        <v>4081.17376294591</v>
      </c>
      <c r="Q114" s="71" t="n">
        <f aca="false">P114+Q102-(Q109-Q108)</f>
        <v>5288.13072497123</v>
      </c>
      <c r="R114" s="71" t="n">
        <f aca="false">Q114+R102-(R109-R108)</f>
        <v>5079.38872266973</v>
      </c>
      <c r="S114" s="71" t="n">
        <f aca="false">R114+S102-(S109-S108)</f>
        <v>5496.87272727273</v>
      </c>
      <c r="T114" s="71" t="n">
        <f aca="false">S114+T102-(T109-T108)</f>
        <v>5218.5500575374</v>
      </c>
      <c r="U114" s="71" t="n">
        <f aca="false">T114+U102-(U109-U108)</f>
        <v>5218.5500575374</v>
      </c>
      <c r="V114" s="71" t="n">
        <f aca="false">U114+V102-(V109-V108)</f>
        <v>4801.06605293441</v>
      </c>
      <c r="W114" s="71" t="n">
        <f aca="false">V114+W102-(W109-W108)</f>
        <v>3896.51737629459</v>
      </c>
      <c r="X114" s="71" t="n">
        <f aca="false">W114+X102-(X109-X108)</f>
        <v>4731.48538550057</v>
      </c>
      <c r="Y114" s="71" t="n">
        <f aca="false">X114+Y102-(Y109-Y108)</f>
        <v>5496.87272727273</v>
      </c>
      <c r="Z114" s="71" t="n">
        <f aca="false">Y114+Z102-(Z109-Z108)</f>
        <v>5705.61472957422</v>
      </c>
      <c r="AA114" s="71" t="n">
        <f aca="false">Z114+AA102-(AA109-AA108)</f>
        <v>5288.13072497123</v>
      </c>
      <c r="AB114" s="71" t="n">
        <f aca="false">AA114+AB102-(AB109-AB108)</f>
        <v>4244.42071346375</v>
      </c>
    </row>
    <row r="115" customFormat="false" ht="15" hidden="false" customHeight="false" outlineLevel="0" collapsed="false">
      <c r="A115" s="28" t="s">
        <v>723</v>
      </c>
      <c r="B115" s="58"/>
      <c r="C115" s="59" t="n">
        <f aca="false">P115</f>
        <v>5936.78904551549</v>
      </c>
      <c r="D115" s="59" t="n">
        <f aca="false">AB115</f>
        <v>6174.26060733611</v>
      </c>
      <c r="E115" s="60" t="n">
        <f aca="false">E113/FX!E10</f>
        <v>0</v>
      </c>
      <c r="F115" s="60" t="n">
        <f aca="false">F113/FX!F10</f>
        <v>0</v>
      </c>
      <c r="G115" s="60" t="n">
        <f aca="false">G113/FX!G10</f>
        <v>43018.5298216116</v>
      </c>
      <c r="H115" s="60" t="n">
        <f aca="false">H113/FX!H10</f>
        <v>0</v>
      </c>
      <c r="I115" s="60" t="n">
        <f aca="false">I113/FX!I10</f>
        <v>0</v>
      </c>
      <c r="J115" s="60" t="n">
        <f aca="false">J113/FX!J10</f>
        <v>68138.6664810044</v>
      </c>
      <c r="K115" s="60" t="n">
        <f aca="false">K113/FX!K10</f>
        <v>0</v>
      </c>
      <c r="L115" s="60" t="n">
        <f aca="false">L113/FX!L10</f>
        <v>0</v>
      </c>
      <c r="M115" s="60" t="n">
        <f aca="false">M113/FX!M10</f>
        <v>50789.2770409116</v>
      </c>
      <c r="N115" s="60" t="n">
        <f aca="false">N113/FX!N10</f>
        <v>0</v>
      </c>
      <c r="O115" s="60" t="n">
        <f aca="false">O113/FX!O10</f>
        <v>6405.48291752987</v>
      </c>
      <c r="P115" s="60" t="n">
        <f aca="false">P113/FX!P10</f>
        <v>5936.78904551549</v>
      </c>
      <c r="Q115" s="60" t="n">
        <f aca="false">Q113/FX!Q10</f>
        <v>4765.05436547954</v>
      </c>
      <c r="R115" s="60" t="n">
        <f aca="false">R113/FX!R10</f>
        <v>6174.26060733611</v>
      </c>
      <c r="S115" s="60" t="n">
        <f aca="false">S113/FX!S10</f>
        <v>5930.53979388863</v>
      </c>
      <c r="T115" s="60" t="n">
        <f aca="false">T113/FX!T10</f>
        <v>6417.98142078359</v>
      </c>
      <c r="U115" s="60" t="n">
        <f aca="false">U113/FX!U10</f>
        <v>6093.02033618695</v>
      </c>
      <c r="V115" s="60" t="n">
        <f aca="false">V113/FX!V10</f>
        <v>6093.02033618695</v>
      </c>
      <c r="W115" s="60" t="n">
        <f aca="false">W113/FX!W10</f>
        <v>5605.57870929199</v>
      </c>
      <c r="X115" s="60" t="n">
        <f aca="false">X113/FX!X10</f>
        <v>4549.45518435292</v>
      </c>
      <c r="Y115" s="60" t="n">
        <f aca="false">Y113/FX!Y10</f>
        <v>5524.33843814283</v>
      </c>
      <c r="Z115" s="60" t="n">
        <f aca="false">Z113/FX!Z10</f>
        <v>6417.98142078359</v>
      </c>
      <c r="AA115" s="60" t="n">
        <f aca="false">AA113/FX!AA10</f>
        <v>6661.70223423107</v>
      </c>
      <c r="AB115" s="60" t="n">
        <f aca="false">AB113/FX!AB10</f>
        <v>6174.26060733611</v>
      </c>
    </row>
    <row r="116" customFormat="false" ht="15" hidden="false" customHeight="false" outlineLevel="0" collapsed="false">
      <c r="A116" s="28" t="s">
        <v>724</v>
      </c>
      <c r="B116" s="58"/>
      <c r="C116" s="66" t="n">
        <f aca="false">P116</f>
        <v>43.8683544303797</v>
      </c>
      <c r="D116" s="66" t="n">
        <f aca="false">AB116</f>
        <v>29.2455696202532</v>
      </c>
      <c r="E116" s="72" t="n">
        <f aca="false">IFERROR(E113/AVERAGE(E111:E111)*30.4,0)</f>
        <v>0</v>
      </c>
      <c r="F116" s="72" t="n">
        <f aca="false">IFERROR(F113/AVERAGE(E111:F111)*30.4,0)</f>
        <v>0</v>
      </c>
      <c r="G116" s="72" t="n">
        <f aca="false">IFERROR(G113/AVERAGE(E111:G111)*30.4,0)</f>
        <v>78.315180137931</v>
      </c>
      <c r="H116" s="72" t="n">
        <f aca="false">IFERROR(H113/AVERAGE(F111:H111)*30.4,0)</f>
        <v>0</v>
      </c>
      <c r="I116" s="72" t="n">
        <f aca="false">IFERROR(I113/AVERAGE(G111:I111)*30.4,0)</f>
        <v>0</v>
      </c>
      <c r="J116" s="72" t="n">
        <f aca="false">IFERROR(J113/AVERAGE(H111:J111)*30.4,0)</f>
        <v>92.3329870344828</v>
      </c>
      <c r="K116" s="72" t="n">
        <f aca="false">IFERROR(K113/AVERAGE(I111:K111)*30.4,0)</f>
        <v>0</v>
      </c>
      <c r="L116" s="72" t="n">
        <f aca="false">IFERROR(L113/AVERAGE(J111:L111)*30.4,0)</f>
        <v>0</v>
      </c>
      <c r="M116" s="72" t="n">
        <f aca="false">IFERROR(M113/AVERAGE(K111:M111)*30.4,0)</f>
        <v>91.2</v>
      </c>
      <c r="N116" s="72" t="n">
        <f aca="false">IFERROR(N113/AVERAGE(L111:N111)*30.4,0)</f>
        <v>0</v>
      </c>
      <c r="O116" s="72" t="n">
        <f aca="false">IFERROR(O113/AVERAGE(M111:O111)*30.4,0)</f>
        <v>10.2138734825218</v>
      </c>
      <c r="P116" s="72" t="n">
        <f aca="false">IFERROR(P113/AVERAGE(N111:P111)*30.4,0)</f>
        <v>43.8683544303797</v>
      </c>
      <c r="Q116" s="72" t="n">
        <f aca="false">IFERROR(Q113/AVERAGE(O111:Q111)*30.4,0)</f>
        <v>25.4027397260274</v>
      </c>
      <c r="R116" s="72" t="n">
        <f aca="false">IFERROR(R113/AVERAGE(P111:R111)*30.4,0)</f>
        <v>33.3662655063877</v>
      </c>
      <c r="S116" s="72" t="n">
        <f aca="false">IFERROR(S113/AVERAGE(Q111:S111)*30.4,0)</f>
        <v>32.0610483422856</v>
      </c>
      <c r="T116" s="72" t="n">
        <f aca="false">IFERROR(T113/AVERAGE(R111:T111)*30.4,0)</f>
        <v>31.6</v>
      </c>
      <c r="U116" s="72" t="n">
        <f aca="false">IFERROR(U113/AVERAGE(S111:U111)*30.4,0)</f>
        <v>30.1321585903084</v>
      </c>
      <c r="V116" s="72" t="n">
        <f aca="false">IFERROR(V113/AVERAGE(T111:V111)*30.4,0)</f>
        <v>29.8689956331878</v>
      </c>
      <c r="W116" s="72" t="n">
        <f aca="false">IFERROR(W113/AVERAGE(U111:W111)*30.4,0)</f>
        <v>28.7342465753425</v>
      </c>
      <c r="X116" s="72" t="n">
        <f aca="false">IFERROR(X113/AVERAGE(V111:X111)*30.4,0)</f>
        <v>25.536</v>
      </c>
      <c r="Y116" s="72" t="n">
        <f aca="false">IFERROR(Y113/AVERAGE(W111:Y111)*30.4,0)</f>
        <v>32.1326424870466</v>
      </c>
      <c r="Z116" s="72" t="n">
        <f aca="false">IFERROR(Z113/AVERAGE(X111:Z111)*30.4,0)</f>
        <v>35.4916256157635</v>
      </c>
      <c r="AA116" s="72" t="n">
        <f aca="false">IFERROR(AA113/AVERAGE(Y111:AA111)*30.4,0)</f>
        <v>32.656768558952</v>
      </c>
      <c r="AB116" s="72" t="n">
        <f aca="false">IFERROR(AB113/AVERAGE(Z111:AB111)*30.4,0)</f>
        <v>29.2455696202532</v>
      </c>
    </row>
    <row r="118" customFormat="false" ht="15" hidden="false" customHeight="false" outlineLevel="0" collapsed="false">
      <c r="A118" s="22" t="s">
        <v>729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customFormat="false" ht="15" hidden="false" customHeight="false" outlineLevel="0" collapsed="false">
      <c r="A119" s="28" t="s">
        <v>331</v>
      </c>
      <c r="B119" s="58" t="s">
        <v>49</v>
      </c>
      <c r="C119" s="59" t="n">
        <f aca="false">SUM(E119:P119)</f>
        <v>216000</v>
      </c>
      <c r="D119" s="59" t="n">
        <f aca="false">SUM(Q119:AB119)</f>
        <v>209088</v>
      </c>
      <c r="E119" s="60" t="n">
        <f aca="false">Retainers!E30</f>
        <v>18000</v>
      </c>
      <c r="F119" s="60" t="n">
        <f aca="false">Retainers!F30</f>
        <v>18000</v>
      </c>
      <c r="G119" s="60" t="n">
        <f aca="false">Retainers!G30</f>
        <v>18000</v>
      </c>
      <c r="H119" s="60" t="n">
        <f aca="false">Retainers!H30</f>
        <v>18000</v>
      </c>
      <c r="I119" s="60" t="n">
        <f aca="false">Retainers!I30</f>
        <v>18000</v>
      </c>
      <c r="J119" s="60" t="n">
        <f aca="false">Retainers!J30</f>
        <v>18000</v>
      </c>
      <c r="K119" s="60" t="n">
        <f aca="false">Retainers!K30</f>
        <v>18000</v>
      </c>
      <c r="L119" s="60" t="n">
        <f aca="false">Retainers!L30</f>
        <v>18000</v>
      </c>
      <c r="M119" s="60" t="n">
        <f aca="false">Retainers!M30</f>
        <v>18000</v>
      </c>
      <c r="N119" s="60" t="n">
        <f aca="false">Retainers!N30</f>
        <v>18000</v>
      </c>
      <c r="O119" s="60" t="n">
        <f aca="false">Retainers!O30</f>
        <v>18000</v>
      </c>
      <c r="P119" s="60" t="n">
        <f aca="false">Retainers!P30</f>
        <v>18000</v>
      </c>
      <c r="Q119" s="60" t="n">
        <f aca="false">Retainers!Q30</f>
        <v>18000</v>
      </c>
      <c r="R119" s="60" t="n">
        <f aca="false">Retainers!R30</f>
        <v>18000</v>
      </c>
      <c r="S119" s="60" t="n">
        <f aca="false">Retainers!S30</f>
        <v>18000</v>
      </c>
      <c r="T119" s="60" t="n">
        <f aca="false">Retainers!T30</f>
        <v>18000</v>
      </c>
      <c r="U119" s="60" t="n">
        <f aca="false">Retainers!U30</f>
        <v>18000</v>
      </c>
      <c r="V119" s="60" t="n">
        <f aca="false">Retainers!V30</f>
        <v>18000</v>
      </c>
      <c r="W119" s="60" t="n">
        <f aca="false">Retainers!W30</f>
        <v>16848</v>
      </c>
      <c r="X119" s="60" t="n">
        <f aca="false">Retainers!X30</f>
        <v>16848</v>
      </c>
      <c r="Y119" s="60" t="n">
        <f aca="false">Retainers!Y30</f>
        <v>16848</v>
      </c>
      <c r="Z119" s="60" t="n">
        <f aca="false">Retainers!Z30</f>
        <v>16848</v>
      </c>
      <c r="AA119" s="60" t="n">
        <f aca="false">Retainers!AA30</f>
        <v>16848</v>
      </c>
      <c r="AB119" s="60" t="n">
        <f aca="false">Retainers!AB30</f>
        <v>16848</v>
      </c>
    </row>
    <row r="120" customFormat="false" ht="15" hidden="false" customHeight="false" outlineLevel="0" collapsed="false">
      <c r="A120" s="28" t="s">
        <v>700</v>
      </c>
      <c r="B120" s="58" t="s">
        <v>51</v>
      </c>
      <c r="C120" s="59" t="n">
        <f aca="false">SUM(E120:P120)</f>
        <v>61747.2</v>
      </c>
      <c r="D120" s="59" t="n">
        <f aca="false">SUM(Q120:AB120)</f>
        <v>0</v>
      </c>
      <c r="E120" s="60" t="n">
        <f aca="false">Projects!E36</f>
        <v>24537.6</v>
      </c>
      <c r="F120" s="60" t="n">
        <f aca="false">Projects!F36</f>
        <v>17880.37</v>
      </c>
      <c r="G120" s="60" t="n">
        <f aca="false">Projects!G36</f>
        <v>13892.31</v>
      </c>
      <c r="H120" s="60" t="n">
        <f aca="false">Projects!H36</f>
        <v>5436.92</v>
      </c>
      <c r="I120" s="60" t="n">
        <f aca="false">Projects!I36</f>
        <v>0</v>
      </c>
      <c r="J120" s="60" t="n">
        <f aca="false">Projects!J36</f>
        <v>0</v>
      </c>
      <c r="K120" s="60" t="n">
        <f aca="false">Projects!K36</f>
        <v>0</v>
      </c>
      <c r="L120" s="60" t="n">
        <f aca="false">Projects!L36</f>
        <v>0</v>
      </c>
      <c r="M120" s="60" t="n">
        <f aca="false">Projects!M36</f>
        <v>0</v>
      </c>
      <c r="N120" s="60" t="n">
        <f aca="false">Projects!N36</f>
        <v>0</v>
      </c>
      <c r="O120" s="60" t="n">
        <f aca="false">Projects!O36</f>
        <v>0</v>
      </c>
      <c r="P120" s="60" t="n">
        <f aca="false">Projects!P36</f>
        <v>0</v>
      </c>
      <c r="Q120" s="60" t="n">
        <f aca="false">Projects!Q36</f>
        <v>0</v>
      </c>
      <c r="R120" s="60" t="n">
        <f aca="false">Projects!R36</f>
        <v>0</v>
      </c>
      <c r="S120" s="60" t="n">
        <f aca="false">Projects!S36</f>
        <v>0</v>
      </c>
      <c r="T120" s="60" t="n">
        <f aca="false">Projects!T36</f>
        <v>0</v>
      </c>
      <c r="U120" s="60" t="n">
        <f aca="false">Projects!U36</f>
        <v>0</v>
      </c>
      <c r="V120" s="60" t="n">
        <f aca="false">Projects!V36</f>
        <v>0</v>
      </c>
      <c r="W120" s="60" t="n">
        <f aca="false">Projects!W36</f>
        <v>0</v>
      </c>
      <c r="X120" s="60" t="n">
        <f aca="false">Projects!X36</f>
        <v>0</v>
      </c>
      <c r="Y120" s="60" t="n">
        <f aca="false">Projects!Y36</f>
        <v>0</v>
      </c>
      <c r="Z120" s="60" t="n">
        <f aca="false">Projects!Z36</f>
        <v>0</v>
      </c>
      <c r="AA120" s="60" t="n">
        <f aca="false">Projects!AA36</f>
        <v>0</v>
      </c>
      <c r="AB120" s="60" t="n">
        <f aca="false">Projects!AB36</f>
        <v>0</v>
      </c>
    </row>
    <row r="121" customFormat="false" ht="15" hidden="false" customHeight="false" outlineLevel="0" collapsed="false">
      <c r="A121" s="28" t="s">
        <v>333</v>
      </c>
      <c r="B121" s="58" t="s">
        <v>53</v>
      </c>
      <c r="C121" s="59" t="n">
        <f aca="false">SUM(E121:P121)</f>
        <v>0</v>
      </c>
      <c r="D121" s="59" t="n">
        <f aca="false">SUM(Q121:AB121)</f>
        <v>0</v>
      </c>
      <c r="E121" s="71" t="n">
        <f aca="false">0</f>
        <v>0</v>
      </c>
      <c r="F121" s="71" t="n">
        <f aca="false">0</f>
        <v>0</v>
      </c>
      <c r="G121" s="71" t="n">
        <f aca="false">0</f>
        <v>0</v>
      </c>
      <c r="H121" s="71" t="n">
        <f aca="false">0</f>
        <v>0</v>
      </c>
      <c r="I121" s="71" t="n">
        <f aca="false">0</f>
        <v>0</v>
      </c>
      <c r="J121" s="71" t="n">
        <f aca="false">0</f>
        <v>0</v>
      </c>
      <c r="K121" s="71" t="n">
        <f aca="false">0</f>
        <v>0</v>
      </c>
      <c r="L121" s="71" t="n">
        <f aca="false">0</f>
        <v>0</v>
      </c>
      <c r="M121" s="71" t="n">
        <f aca="false">0</f>
        <v>0</v>
      </c>
      <c r="N121" s="71" t="n">
        <f aca="false">0</f>
        <v>0</v>
      </c>
      <c r="O121" s="71" t="n">
        <f aca="false">0</f>
        <v>0</v>
      </c>
      <c r="P121" s="71" t="n">
        <f aca="false">0</f>
        <v>0</v>
      </c>
      <c r="Q121" s="71" t="n">
        <f aca="false">0</f>
        <v>0</v>
      </c>
      <c r="R121" s="71" t="n">
        <f aca="false">0</f>
        <v>0</v>
      </c>
      <c r="S121" s="71" t="n">
        <f aca="false">0</f>
        <v>0</v>
      </c>
      <c r="T121" s="71" t="n">
        <f aca="false">0</f>
        <v>0</v>
      </c>
      <c r="U121" s="71" t="n">
        <f aca="false">0</f>
        <v>0</v>
      </c>
      <c r="V121" s="71" t="n">
        <f aca="false">0</f>
        <v>0</v>
      </c>
      <c r="W121" s="71" t="n">
        <f aca="false">0</f>
        <v>0</v>
      </c>
      <c r="X121" s="71" t="n">
        <f aca="false">0</f>
        <v>0</v>
      </c>
      <c r="Y121" s="71" t="n">
        <f aca="false">0</f>
        <v>0</v>
      </c>
      <c r="Z121" s="71" t="n">
        <f aca="false">0</f>
        <v>0</v>
      </c>
      <c r="AA121" s="71" t="n">
        <f aca="false">0</f>
        <v>0</v>
      </c>
      <c r="AB121" s="71" t="n">
        <f aca="false">0</f>
        <v>0</v>
      </c>
    </row>
    <row r="122" customFormat="false" ht="15" hidden="false" customHeight="false" outlineLevel="0" collapsed="false">
      <c r="A122" s="28" t="s">
        <v>334</v>
      </c>
      <c r="B122" s="58" t="s">
        <v>53</v>
      </c>
      <c r="C122" s="59" t="n">
        <f aca="false">SUM(E122:P122)</f>
        <v>0</v>
      </c>
      <c r="D122" s="59" t="n">
        <f aca="false">SUM(Q122:AB122)</f>
        <v>0</v>
      </c>
      <c r="E122" s="71" t="n">
        <f aca="false">0</f>
        <v>0</v>
      </c>
      <c r="F122" s="71" t="n">
        <f aca="false">0</f>
        <v>0</v>
      </c>
      <c r="G122" s="71" t="n">
        <f aca="false">0</f>
        <v>0</v>
      </c>
      <c r="H122" s="71" t="n">
        <f aca="false">0</f>
        <v>0</v>
      </c>
      <c r="I122" s="71" t="n">
        <f aca="false">0</f>
        <v>0</v>
      </c>
      <c r="J122" s="71" t="n">
        <f aca="false">0</f>
        <v>0</v>
      </c>
      <c r="K122" s="71" t="n">
        <f aca="false">0</f>
        <v>0</v>
      </c>
      <c r="L122" s="71" t="n">
        <f aca="false">0</f>
        <v>0</v>
      </c>
      <c r="M122" s="71" t="n">
        <f aca="false">0</f>
        <v>0</v>
      </c>
      <c r="N122" s="71" t="n">
        <f aca="false">0</f>
        <v>0</v>
      </c>
      <c r="O122" s="71" t="n">
        <f aca="false">0</f>
        <v>0</v>
      </c>
      <c r="P122" s="71" t="n">
        <f aca="false">0</f>
        <v>0</v>
      </c>
      <c r="Q122" s="71" t="n">
        <f aca="false">0</f>
        <v>0</v>
      </c>
      <c r="R122" s="71" t="n">
        <f aca="false">0</f>
        <v>0</v>
      </c>
      <c r="S122" s="71" t="n">
        <f aca="false">0</f>
        <v>0</v>
      </c>
      <c r="T122" s="71" t="n">
        <f aca="false">0</f>
        <v>0</v>
      </c>
      <c r="U122" s="71" t="n">
        <f aca="false">0</f>
        <v>0</v>
      </c>
      <c r="V122" s="71" t="n">
        <f aca="false">0</f>
        <v>0</v>
      </c>
      <c r="W122" s="71" t="n">
        <f aca="false">0</f>
        <v>0</v>
      </c>
      <c r="X122" s="71" t="n">
        <f aca="false">0</f>
        <v>0</v>
      </c>
      <c r="Y122" s="71" t="n">
        <f aca="false">0</f>
        <v>0</v>
      </c>
      <c r="Z122" s="71" t="n">
        <f aca="false">0</f>
        <v>0</v>
      </c>
      <c r="AA122" s="71" t="n">
        <f aca="false">0</f>
        <v>0</v>
      </c>
      <c r="AB122" s="71" t="n">
        <f aca="false">0</f>
        <v>0</v>
      </c>
    </row>
    <row r="123" customFormat="false" ht="15" hidden="false" customHeight="false" outlineLevel="0" collapsed="false">
      <c r="A123" s="28" t="s">
        <v>701</v>
      </c>
      <c r="B123" s="58" t="s">
        <v>51</v>
      </c>
      <c r="C123" s="59" t="n">
        <f aca="false">SUM(E123:P123)</f>
        <v>0</v>
      </c>
      <c r="D123" s="59" t="n">
        <f aca="false">SUM(Q123:AB123)</f>
        <v>0</v>
      </c>
      <c r="E123" s="71" t="n">
        <f aca="false">0</f>
        <v>0</v>
      </c>
      <c r="F123" s="71" t="n">
        <f aca="false">0</f>
        <v>0</v>
      </c>
      <c r="G123" s="71" t="n">
        <f aca="false">0</f>
        <v>0</v>
      </c>
      <c r="H123" s="71" t="n">
        <f aca="false">0</f>
        <v>0</v>
      </c>
      <c r="I123" s="71" t="n">
        <f aca="false">0</f>
        <v>0</v>
      </c>
      <c r="J123" s="71" t="n">
        <f aca="false">0</f>
        <v>0</v>
      </c>
      <c r="K123" s="71" t="n">
        <f aca="false">0</f>
        <v>0</v>
      </c>
      <c r="L123" s="71" t="n">
        <f aca="false">0</f>
        <v>0</v>
      </c>
      <c r="M123" s="71" t="n">
        <f aca="false">0</f>
        <v>0</v>
      </c>
      <c r="N123" s="71" t="n">
        <f aca="false">0</f>
        <v>0</v>
      </c>
      <c r="O123" s="71" t="n">
        <f aca="false">0</f>
        <v>0</v>
      </c>
      <c r="P123" s="71" t="n">
        <f aca="false">0</f>
        <v>0</v>
      </c>
      <c r="Q123" s="71" t="n">
        <f aca="false">0</f>
        <v>0</v>
      </c>
      <c r="R123" s="71" t="n">
        <f aca="false">0</f>
        <v>0</v>
      </c>
      <c r="S123" s="71" t="n">
        <f aca="false">0</f>
        <v>0</v>
      </c>
      <c r="T123" s="71" t="n">
        <f aca="false">0</f>
        <v>0</v>
      </c>
      <c r="U123" s="71" t="n">
        <f aca="false">0</f>
        <v>0</v>
      </c>
      <c r="V123" s="71" t="n">
        <f aca="false">0</f>
        <v>0</v>
      </c>
      <c r="W123" s="71" t="n">
        <f aca="false">0</f>
        <v>0</v>
      </c>
      <c r="X123" s="71" t="n">
        <f aca="false">0</f>
        <v>0</v>
      </c>
      <c r="Y123" s="71" t="n">
        <f aca="false">0</f>
        <v>0</v>
      </c>
      <c r="Z123" s="71" t="n">
        <f aca="false">0</f>
        <v>0</v>
      </c>
      <c r="AA123" s="71" t="n">
        <f aca="false">0</f>
        <v>0</v>
      </c>
      <c r="AB123" s="71" t="n">
        <f aca="false">0</f>
        <v>0</v>
      </c>
    </row>
    <row r="124" customFormat="false" ht="15" hidden="false" customHeight="false" outlineLevel="0" collapsed="false">
      <c r="A124" s="68" t="s">
        <v>702</v>
      </c>
      <c r="B124" s="69"/>
      <c r="C124" s="70" t="n">
        <f aca="false">SUM(E124:P124)</f>
        <v>277747.2</v>
      </c>
      <c r="D124" s="70" t="n">
        <f aca="false">SUM(Q124:AB124)</f>
        <v>209088</v>
      </c>
      <c r="E124" s="70" t="n">
        <f aca="false">SUM(E119:E123)</f>
        <v>42537.6</v>
      </c>
      <c r="F124" s="70" t="n">
        <f aca="false">SUM(F119:F123)</f>
        <v>35880.37</v>
      </c>
      <c r="G124" s="70" t="n">
        <f aca="false">SUM(G119:G123)</f>
        <v>31892.31</v>
      </c>
      <c r="H124" s="70" t="n">
        <f aca="false">SUM(H119:H123)</f>
        <v>23436.92</v>
      </c>
      <c r="I124" s="70" t="n">
        <f aca="false">SUM(I119:I123)</f>
        <v>18000</v>
      </c>
      <c r="J124" s="70" t="n">
        <f aca="false">SUM(J119:J123)</f>
        <v>18000</v>
      </c>
      <c r="K124" s="70" t="n">
        <f aca="false">SUM(K119:K123)</f>
        <v>18000</v>
      </c>
      <c r="L124" s="70" t="n">
        <f aca="false">SUM(L119:L123)</f>
        <v>18000</v>
      </c>
      <c r="M124" s="70" t="n">
        <f aca="false">SUM(M119:M123)</f>
        <v>18000</v>
      </c>
      <c r="N124" s="70" t="n">
        <f aca="false">SUM(N119:N123)</f>
        <v>18000</v>
      </c>
      <c r="O124" s="70" t="n">
        <f aca="false">SUM(O119:O123)</f>
        <v>18000</v>
      </c>
      <c r="P124" s="70" t="n">
        <f aca="false">SUM(P119:P123)</f>
        <v>18000</v>
      </c>
      <c r="Q124" s="70" t="n">
        <f aca="false">SUM(Q119:Q123)</f>
        <v>18000</v>
      </c>
      <c r="R124" s="70" t="n">
        <f aca="false">SUM(R119:R123)</f>
        <v>18000</v>
      </c>
      <c r="S124" s="70" t="n">
        <f aca="false">SUM(S119:S123)</f>
        <v>18000</v>
      </c>
      <c r="T124" s="70" t="n">
        <f aca="false">SUM(T119:T123)</f>
        <v>18000</v>
      </c>
      <c r="U124" s="70" t="n">
        <f aca="false">SUM(U119:U123)</f>
        <v>18000</v>
      </c>
      <c r="V124" s="70" t="n">
        <f aca="false">SUM(V119:V123)</f>
        <v>18000</v>
      </c>
      <c r="W124" s="70" t="n">
        <f aca="false">SUM(W119:W123)</f>
        <v>16848</v>
      </c>
      <c r="X124" s="70" t="n">
        <f aca="false">SUM(X119:X123)</f>
        <v>16848</v>
      </c>
      <c r="Y124" s="70" t="n">
        <f aca="false">SUM(Y119:Y123)</f>
        <v>16848</v>
      </c>
      <c r="Z124" s="70" t="n">
        <f aca="false">SUM(Z119:Z123)</f>
        <v>16848</v>
      </c>
      <c r="AA124" s="70" t="n">
        <f aca="false">SUM(AA119:AA123)</f>
        <v>16848</v>
      </c>
      <c r="AB124" s="70" t="n">
        <f aca="false">SUM(AB119:AB123)</f>
        <v>16848</v>
      </c>
    </row>
    <row r="125" customFormat="false" ht="15" hidden="false" customHeight="false" outlineLevel="0" collapsed="false">
      <c r="A125" s="28" t="s">
        <v>703</v>
      </c>
      <c r="B125" s="58"/>
      <c r="C125" s="59" t="n">
        <f aca="false">SUM(E125:P125)</f>
        <v>321333.88896643</v>
      </c>
      <c r="D125" s="59" t="n">
        <f aca="false">SUM(Q125:AB125)</f>
        <v>244124.789837474</v>
      </c>
      <c r="E125" s="60" t="n">
        <f aca="false">E124/FX!E9</f>
        <v>48927.5362318841</v>
      </c>
      <c r="F125" s="60" t="n">
        <f aca="false">F124/FX!F9</f>
        <v>41182.6341463415</v>
      </c>
      <c r="G125" s="60" t="n">
        <f aca="false">G124/FX!G9</f>
        <v>36560.7524847818</v>
      </c>
      <c r="H125" s="60" t="n">
        <f aca="false">H124/FX!H9</f>
        <v>27023.1641088909</v>
      </c>
      <c r="I125" s="60" t="n">
        <f aca="false">I124/FX!I9</f>
        <v>20767.4735214713</v>
      </c>
      <c r="J125" s="60" t="n">
        <f aca="false">J124/FX!J9</f>
        <v>20821.2839791787</v>
      </c>
      <c r="K125" s="60" t="n">
        <f aca="false">K124/FX!K9</f>
        <v>20960.6986899563</v>
      </c>
      <c r="L125" s="60" t="n">
        <f aca="false">L124/FX!L9</f>
        <v>21025.3355293128</v>
      </c>
      <c r="M125" s="60" t="n">
        <f aca="false">M124/FX!M9</f>
        <v>21016.2525686531</v>
      </c>
      <c r="N125" s="60" t="n">
        <f aca="false">N124/FX!N9</f>
        <v>21016.2525686531</v>
      </c>
      <c r="O125" s="60" t="n">
        <f aca="false">O124/FX!O9</f>
        <v>21016.2525686531</v>
      </c>
      <c r="P125" s="60" t="n">
        <f aca="false">P124/FX!P9</f>
        <v>21016.2525686531</v>
      </c>
      <c r="Q125" s="60" t="n">
        <f aca="false">Q124/FX!Q9</f>
        <v>21016.2525686531</v>
      </c>
      <c r="R125" s="60" t="n">
        <f aca="false">R124/FX!R9</f>
        <v>21016.2525686531</v>
      </c>
      <c r="S125" s="60" t="n">
        <f aca="false">S124/FX!S9</f>
        <v>21016.2525686531</v>
      </c>
      <c r="T125" s="60" t="n">
        <f aca="false">T124/FX!T9</f>
        <v>21016.2525686531</v>
      </c>
      <c r="U125" s="60" t="n">
        <f aca="false">U124/FX!U9</f>
        <v>21016.2525686531</v>
      </c>
      <c r="V125" s="60" t="n">
        <f aca="false">V124/FX!V9</f>
        <v>21016.2525686531</v>
      </c>
      <c r="W125" s="60" t="n">
        <f aca="false">W124/FX!W9</f>
        <v>19671.2124042593</v>
      </c>
      <c r="X125" s="60" t="n">
        <f aca="false">X124/FX!X9</f>
        <v>19671.2124042593</v>
      </c>
      <c r="Y125" s="60" t="n">
        <f aca="false">Y124/FX!Y9</f>
        <v>19671.2124042593</v>
      </c>
      <c r="Z125" s="60" t="n">
        <f aca="false">Z124/FX!Z9</f>
        <v>19671.2124042593</v>
      </c>
      <c r="AA125" s="60" t="n">
        <f aca="false">AA124/FX!AA9</f>
        <v>19671.2124042593</v>
      </c>
      <c r="AB125" s="60" t="n">
        <f aca="false">AB124/FX!AB9</f>
        <v>19671.2124042593</v>
      </c>
    </row>
    <row r="126" customFormat="false" ht="15" hidden="false" customHeight="false" outlineLevel="0" collapsed="false">
      <c r="A126" s="28" t="s">
        <v>704</v>
      </c>
      <c r="B126" s="58" t="s">
        <v>51</v>
      </c>
      <c r="C126" s="59" t="n">
        <f aca="false">SUM(E126:P126)</f>
        <v>0</v>
      </c>
      <c r="D126" s="59" t="n">
        <f aca="false">SUM(Q126:AB126)</f>
        <v>0</v>
      </c>
      <c r="E126" s="71" t="n">
        <f aca="false">0</f>
        <v>0</v>
      </c>
      <c r="F126" s="71" t="n">
        <f aca="false">0</f>
        <v>0</v>
      </c>
      <c r="G126" s="71" t="n">
        <f aca="false">0</f>
        <v>0</v>
      </c>
      <c r="H126" s="71" t="n">
        <f aca="false">0</f>
        <v>0</v>
      </c>
      <c r="I126" s="71" t="n">
        <f aca="false">0</f>
        <v>0</v>
      </c>
      <c r="J126" s="71" t="n">
        <f aca="false">0</f>
        <v>0</v>
      </c>
      <c r="K126" s="71" t="n">
        <f aca="false">0</f>
        <v>0</v>
      </c>
      <c r="L126" s="71" t="n">
        <f aca="false">0</f>
        <v>0</v>
      </c>
      <c r="M126" s="71" t="n">
        <f aca="false">0</f>
        <v>0</v>
      </c>
      <c r="N126" s="71" t="n">
        <f aca="false">0</f>
        <v>0</v>
      </c>
      <c r="O126" s="71" t="n">
        <f aca="false">0</f>
        <v>0</v>
      </c>
      <c r="P126" s="71" t="n">
        <f aca="false">0</f>
        <v>0</v>
      </c>
      <c r="Q126" s="71" t="n">
        <f aca="false">0</f>
        <v>0</v>
      </c>
      <c r="R126" s="71" t="n">
        <f aca="false">0</f>
        <v>0</v>
      </c>
      <c r="S126" s="71" t="n">
        <f aca="false">0</f>
        <v>0</v>
      </c>
      <c r="T126" s="71" t="n">
        <f aca="false">0</f>
        <v>0</v>
      </c>
      <c r="U126" s="71" t="n">
        <f aca="false">0</f>
        <v>0</v>
      </c>
      <c r="V126" s="71" t="n">
        <f aca="false">0</f>
        <v>0</v>
      </c>
      <c r="W126" s="71" t="n">
        <f aca="false">0</f>
        <v>0</v>
      </c>
      <c r="X126" s="71" t="n">
        <f aca="false">0</f>
        <v>0</v>
      </c>
      <c r="Y126" s="71" t="n">
        <f aca="false">0</f>
        <v>0</v>
      </c>
      <c r="Z126" s="71" t="n">
        <f aca="false">0</f>
        <v>0</v>
      </c>
      <c r="AA126" s="71" t="n">
        <f aca="false">0</f>
        <v>0</v>
      </c>
      <c r="AB126" s="71" t="n">
        <f aca="false">0</f>
        <v>0</v>
      </c>
    </row>
    <row r="127" customFormat="false" ht="15" hidden="false" customHeight="false" outlineLevel="0" collapsed="false">
      <c r="A127" s="68" t="s">
        <v>705</v>
      </c>
      <c r="B127" s="69" t="s">
        <v>706</v>
      </c>
      <c r="C127" s="70" t="n">
        <f aca="false">SUM(E127:P127)</f>
        <v>321333.88896643</v>
      </c>
      <c r="D127" s="70" t="n">
        <f aca="false">SUM(Q127:AB127)</f>
        <v>244124.789837474</v>
      </c>
      <c r="E127" s="70" t="n">
        <f aca="false">E125-E126</f>
        <v>48927.5362318841</v>
      </c>
      <c r="F127" s="70" t="n">
        <f aca="false">F125-F126</f>
        <v>41182.6341463415</v>
      </c>
      <c r="G127" s="70" t="n">
        <f aca="false">G125-G126</f>
        <v>36560.7524847818</v>
      </c>
      <c r="H127" s="70" t="n">
        <f aca="false">H125-H126</f>
        <v>27023.1641088909</v>
      </c>
      <c r="I127" s="70" t="n">
        <f aca="false">I125-I126</f>
        <v>20767.4735214713</v>
      </c>
      <c r="J127" s="70" t="n">
        <f aca="false">J125-J126</f>
        <v>20821.2839791787</v>
      </c>
      <c r="K127" s="70" t="n">
        <f aca="false">K125-K126</f>
        <v>20960.6986899563</v>
      </c>
      <c r="L127" s="70" t="n">
        <f aca="false">L125-L126</f>
        <v>21025.3355293128</v>
      </c>
      <c r="M127" s="70" t="n">
        <f aca="false">M125-M126</f>
        <v>21016.2525686531</v>
      </c>
      <c r="N127" s="70" t="n">
        <f aca="false">N125-N126</f>
        <v>21016.2525686531</v>
      </c>
      <c r="O127" s="70" t="n">
        <f aca="false">O125-O126</f>
        <v>21016.2525686531</v>
      </c>
      <c r="P127" s="70" t="n">
        <f aca="false">P125-P126</f>
        <v>21016.2525686531</v>
      </c>
      <c r="Q127" s="70" t="n">
        <f aca="false">Q125-Q126</f>
        <v>21016.2525686531</v>
      </c>
      <c r="R127" s="70" t="n">
        <f aca="false">R125-R126</f>
        <v>21016.2525686531</v>
      </c>
      <c r="S127" s="70" t="n">
        <f aca="false">S125-S126</f>
        <v>21016.2525686531</v>
      </c>
      <c r="T127" s="70" t="n">
        <f aca="false">T125-T126</f>
        <v>21016.2525686531</v>
      </c>
      <c r="U127" s="70" t="n">
        <f aca="false">U125-U126</f>
        <v>21016.2525686531</v>
      </c>
      <c r="V127" s="70" t="n">
        <f aca="false">V125-V126</f>
        <v>21016.2525686531</v>
      </c>
      <c r="W127" s="70" t="n">
        <f aca="false">W125-W126</f>
        <v>19671.2124042593</v>
      </c>
      <c r="X127" s="70" t="n">
        <f aca="false">X125-X126</f>
        <v>19671.2124042593</v>
      </c>
      <c r="Y127" s="70" t="n">
        <f aca="false">Y125-Y126</f>
        <v>19671.2124042593</v>
      </c>
      <c r="Z127" s="70" t="n">
        <f aca="false">Z125-Z126</f>
        <v>19671.2124042593</v>
      </c>
      <c r="AA127" s="70" t="n">
        <f aca="false">AA125-AA126</f>
        <v>19671.2124042593</v>
      </c>
      <c r="AB127" s="70" t="n">
        <f aca="false">AB125-AB126</f>
        <v>19671.2124042593</v>
      </c>
    </row>
    <row r="128" customFormat="false" ht="15" hidden="false" customHeight="false" outlineLevel="0" collapsed="false">
      <c r="A128" s="28" t="s">
        <v>707</v>
      </c>
      <c r="B128" s="58" t="s">
        <v>708</v>
      </c>
      <c r="C128" s="66" t="n">
        <f aca="false">SUM(E128:P128)</f>
        <v>3166.385</v>
      </c>
      <c r="D128" s="66" t="n">
        <f aca="false">SUM(Q128:AB128)</f>
        <v>2308.74225</v>
      </c>
      <c r="E128" s="67" t="n">
        <f aca="false">Retainers!E33+Projects!E30</f>
        <v>465.1</v>
      </c>
      <c r="F128" s="67" t="n">
        <f aca="false">Retainers!F33+Projects!F30</f>
        <v>442.2</v>
      </c>
      <c r="G128" s="67" t="n">
        <f aca="false">Retainers!G33+Projects!G30</f>
        <v>356.3</v>
      </c>
      <c r="H128" s="67" t="n">
        <f aca="false">Retainers!H33+Projects!H30</f>
        <v>273.6</v>
      </c>
      <c r="I128" s="67" t="n">
        <f aca="false">Retainers!I33+Projects!I30</f>
        <v>207.3</v>
      </c>
      <c r="J128" s="67" t="n">
        <f aca="false">Retainers!J33+Projects!J30</f>
        <v>195.5</v>
      </c>
      <c r="K128" s="67" t="n">
        <f aca="false">Retainers!K33+Projects!K30</f>
        <v>216.4</v>
      </c>
      <c r="L128" s="67" t="n">
        <f aca="false">Retainers!L33+Projects!L30</f>
        <v>199.9</v>
      </c>
      <c r="M128" s="67" t="n">
        <f aca="false">Retainers!M33+Projects!M30</f>
        <v>202.52125</v>
      </c>
      <c r="N128" s="67" t="n">
        <f aca="false">Retainers!N33+Projects!N30</f>
        <v>202.52125</v>
      </c>
      <c r="O128" s="67" t="n">
        <f aca="false">Retainers!O33+Projects!O30</f>
        <v>202.52125</v>
      </c>
      <c r="P128" s="67" t="n">
        <f aca="false">Retainers!P33+Projects!P30</f>
        <v>202.52125</v>
      </c>
      <c r="Q128" s="67" t="n">
        <f aca="false">Retainers!Q33+Projects!Q30</f>
        <v>202.52125</v>
      </c>
      <c r="R128" s="67" t="n">
        <f aca="false">Retainers!R33+Projects!R30</f>
        <v>202.52125</v>
      </c>
      <c r="S128" s="67" t="n">
        <f aca="false">Retainers!S33+Projects!S30</f>
        <v>202.52125</v>
      </c>
      <c r="T128" s="67" t="n">
        <f aca="false">Retainers!T33+Projects!T30</f>
        <v>202.52125</v>
      </c>
      <c r="U128" s="67" t="n">
        <f aca="false">Retainers!U33+Projects!U30</f>
        <v>202.52125</v>
      </c>
      <c r="V128" s="67" t="n">
        <f aca="false">Retainers!V33+Projects!V30</f>
        <v>202.52125</v>
      </c>
      <c r="W128" s="67" t="n">
        <f aca="false">Retainers!W33+Projects!W30</f>
        <v>182.269125</v>
      </c>
      <c r="X128" s="67" t="n">
        <f aca="false">Retainers!X33+Projects!X30</f>
        <v>182.269125</v>
      </c>
      <c r="Y128" s="67" t="n">
        <f aca="false">Retainers!Y33+Projects!Y30</f>
        <v>182.269125</v>
      </c>
      <c r="Z128" s="67" t="n">
        <f aca="false">Retainers!Z33+Projects!Z30</f>
        <v>182.269125</v>
      </c>
      <c r="AA128" s="67" t="n">
        <f aca="false">Retainers!AA33+Projects!AA30</f>
        <v>182.269125</v>
      </c>
      <c r="AB128" s="67" t="n">
        <f aca="false">Retainers!AB33+Projects!AB30</f>
        <v>182.269125</v>
      </c>
    </row>
    <row r="129" customFormat="false" ht="15" hidden="false" customHeight="false" outlineLevel="0" collapsed="false">
      <c r="A129" s="28" t="s">
        <v>709</v>
      </c>
      <c r="B129" s="58" t="s">
        <v>710</v>
      </c>
      <c r="C129" s="59" t="n">
        <f aca="false">SUM(E129:P129)</f>
        <v>170417.402902647</v>
      </c>
      <c r="D129" s="59" t="n">
        <f aca="false">SUM(Q129:AB129)</f>
        <v>130461.565394939</v>
      </c>
      <c r="E129" s="60" t="n">
        <f aca="false">Retainers!E33*Utilisation!E90+Projects!E30*Utilisation!E91</f>
        <v>24854.005604603</v>
      </c>
      <c r="F129" s="60" t="n">
        <f aca="false">Retainers!F33*Utilisation!F90+Projects!F30*Utilisation!F91</f>
        <v>23647.4295383199</v>
      </c>
      <c r="G129" s="60" t="n">
        <f aca="false">Retainers!G33*Utilisation!G90+Projects!G30*Utilisation!G91</f>
        <v>19092.413164557</v>
      </c>
      <c r="H129" s="60" t="n">
        <f aca="false">Retainers!H33*Utilisation!H90+Projects!H30*Utilisation!H91</f>
        <v>14726.528710702</v>
      </c>
      <c r="I129" s="60" t="n">
        <f aca="false">Retainers!I33*Utilisation!I90+Projects!I30*Utilisation!I91</f>
        <v>11209.6007917146</v>
      </c>
      <c r="J129" s="60" t="n">
        <f aca="false">Retainers!J33*Utilisation!J90+Projects!J30*Utilisation!J91</f>
        <v>10571.5241426928</v>
      </c>
      <c r="K129" s="60" t="n">
        <f aca="false">Retainers!K33*Utilisation!K90+Projects!K30*Utilisation!K91</f>
        <v>11701.6768515535</v>
      </c>
      <c r="L129" s="60" t="n">
        <f aca="false">Retainers!L33*Utilisation!L90+Projects!L30*Utilisation!L91</f>
        <v>10809.4510287687</v>
      </c>
      <c r="M129" s="60" t="n">
        <f aca="false">Retainers!M33*Utilisation!M90+Projects!M30*Utilisation!M91</f>
        <v>10951.1932674338</v>
      </c>
      <c r="N129" s="60" t="n">
        <f aca="false">Retainers!N33*Utilisation!N90+Projects!N30*Utilisation!N91</f>
        <v>10951.1932674338</v>
      </c>
      <c r="O129" s="60" t="n">
        <f aca="false">Retainers!O33*Utilisation!O90+Projects!O30*Utilisation!O91</f>
        <v>10951.1932674338</v>
      </c>
      <c r="P129" s="60" t="n">
        <f aca="false">Retainers!P33*Utilisation!P90+Projects!P30*Utilisation!P91</f>
        <v>10951.1932674338</v>
      </c>
      <c r="Q129" s="60" t="n">
        <f aca="false">Retainers!Q33*Utilisation!Q90+Projects!Q30*Utilisation!Q91</f>
        <v>11443.9969644684</v>
      </c>
      <c r="R129" s="60" t="n">
        <f aca="false">Retainers!R33*Utilisation!R90+Projects!R30*Utilisation!R91</f>
        <v>11443.9969644684</v>
      </c>
      <c r="S129" s="60" t="n">
        <f aca="false">Retainers!S33*Utilisation!S90+Projects!S30*Utilisation!S91</f>
        <v>11443.9969644684</v>
      </c>
      <c r="T129" s="60" t="n">
        <f aca="false">Retainers!T33*Utilisation!T90+Projects!T30*Utilisation!T91</f>
        <v>11443.9969644684</v>
      </c>
      <c r="U129" s="60" t="n">
        <f aca="false">Retainers!U33*Utilisation!U90+Projects!U30*Utilisation!U91</f>
        <v>11443.9969644684</v>
      </c>
      <c r="V129" s="60" t="n">
        <f aca="false">Retainers!V33*Utilisation!V90+Projects!V30*Utilisation!V91</f>
        <v>11443.9969644684</v>
      </c>
      <c r="W129" s="60" t="n">
        <f aca="false">Retainers!W33*Utilisation!W90+Projects!W30*Utilisation!W91</f>
        <v>10299.5972680215</v>
      </c>
      <c r="X129" s="60" t="n">
        <f aca="false">Retainers!X33*Utilisation!X90+Projects!X30*Utilisation!X91</f>
        <v>10299.5972680215</v>
      </c>
      <c r="Y129" s="60" t="n">
        <f aca="false">Retainers!Y33*Utilisation!Y90+Projects!Y30*Utilisation!Y91</f>
        <v>10299.5972680215</v>
      </c>
      <c r="Z129" s="60" t="n">
        <f aca="false">Retainers!Z33*Utilisation!Z90+Projects!Z30*Utilisation!Z91</f>
        <v>10299.5972680215</v>
      </c>
      <c r="AA129" s="60" t="n">
        <f aca="false">Retainers!AA33*Utilisation!AA90+Projects!AA30*Utilisation!AA91</f>
        <v>10299.5972680215</v>
      </c>
      <c r="AB129" s="60" t="n">
        <f aca="false">Retainers!AB33*Utilisation!AB90+Projects!AB30*Utilisation!AB91</f>
        <v>10299.5972680215</v>
      </c>
    </row>
    <row r="130" customFormat="false" ht="15" hidden="false" customHeight="false" outlineLevel="0" collapsed="false">
      <c r="A130" s="28" t="s">
        <v>711</v>
      </c>
      <c r="B130" s="58" t="s">
        <v>53</v>
      </c>
      <c r="C130" s="59" t="n">
        <f aca="false">SUM(E130:P130)</f>
        <v>0</v>
      </c>
      <c r="D130" s="59" t="n">
        <f aca="false">SUM(Q130:AB130)</f>
        <v>0</v>
      </c>
      <c r="E130" s="71" t="n">
        <f aca="false">0</f>
        <v>0</v>
      </c>
      <c r="F130" s="71" t="n">
        <f aca="false">0</f>
        <v>0</v>
      </c>
      <c r="G130" s="71" t="n">
        <f aca="false">0</f>
        <v>0</v>
      </c>
      <c r="H130" s="71" t="n">
        <f aca="false">0</f>
        <v>0</v>
      </c>
      <c r="I130" s="71" t="n">
        <f aca="false">0</f>
        <v>0</v>
      </c>
      <c r="J130" s="71" t="n">
        <f aca="false">0</f>
        <v>0</v>
      </c>
      <c r="K130" s="71" t="n">
        <f aca="false">0</f>
        <v>0</v>
      </c>
      <c r="L130" s="71" t="n">
        <f aca="false">0</f>
        <v>0</v>
      </c>
      <c r="M130" s="71" t="n">
        <f aca="false">0</f>
        <v>0</v>
      </c>
      <c r="N130" s="71" t="n">
        <f aca="false">0</f>
        <v>0</v>
      </c>
      <c r="O130" s="71" t="n">
        <f aca="false">0</f>
        <v>0</v>
      </c>
      <c r="P130" s="71" t="n">
        <f aca="false">0</f>
        <v>0</v>
      </c>
      <c r="Q130" s="71" t="n">
        <f aca="false">0</f>
        <v>0</v>
      </c>
      <c r="R130" s="71" t="n">
        <f aca="false">0</f>
        <v>0</v>
      </c>
      <c r="S130" s="71" t="n">
        <f aca="false">0</f>
        <v>0</v>
      </c>
      <c r="T130" s="71" t="n">
        <f aca="false">0</f>
        <v>0</v>
      </c>
      <c r="U130" s="71" t="n">
        <f aca="false">0</f>
        <v>0</v>
      </c>
      <c r="V130" s="71" t="n">
        <f aca="false">0</f>
        <v>0</v>
      </c>
      <c r="W130" s="71" t="n">
        <f aca="false">0</f>
        <v>0</v>
      </c>
      <c r="X130" s="71" t="n">
        <f aca="false">0</f>
        <v>0</v>
      </c>
      <c r="Y130" s="71" t="n">
        <f aca="false">0</f>
        <v>0</v>
      </c>
      <c r="Z130" s="71" t="n">
        <f aca="false">0</f>
        <v>0</v>
      </c>
      <c r="AA130" s="71" t="n">
        <f aca="false">0</f>
        <v>0</v>
      </c>
      <c r="AB130" s="71" t="n">
        <f aca="false">0</f>
        <v>0</v>
      </c>
    </row>
    <row r="131" customFormat="false" ht="15" hidden="false" customHeight="false" outlineLevel="0" collapsed="false">
      <c r="A131" s="28" t="s">
        <v>712</v>
      </c>
      <c r="B131" s="58" t="s">
        <v>713</v>
      </c>
      <c r="C131" s="59" t="n">
        <f aca="false">SUM(E131:P131)</f>
        <v>300000</v>
      </c>
      <c r="D131" s="59" t="n">
        <f aca="false">SUM(Q131:AB131)</f>
        <v>209088</v>
      </c>
      <c r="E131" s="60" t="n">
        <f aca="false">Retainers!E36+Projects!E38+E122+E130+E123</f>
        <v>66000</v>
      </c>
      <c r="F131" s="60" t="n">
        <f aca="false">Retainers!F36+Projects!F38+F122+F130+F123</f>
        <v>18000</v>
      </c>
      <c r="G131" s="60" t="n">
        <f aca="false">Retainers!G36+Projects!G38+G122+G130+G123</f>
        <v>18000</v>
      </c>
      <c r="H131" s="60" t="n">
        <f aca="false">Retainers!H36+Projects!H38+H122+H130+H123</f>
        <v>54000</v>
      </c>
      <c r="I131" s="60" t="n">
        <f aca="false">Retainers!I36+Projects!I38+I122+I130+I123</f>
        <v>18000</v>
      </c>
      <c r="J131" s="60" t="n">
        <f aca="false">Retainers!J36+Projects!J38+J122+J130+J123</f>
        <v>18000</v>
      </c>
      <c r="K131" s="60" t="n">
        <f aca="false">Retainers!K36+Projects!K38+K122+K130+K123</f>
        <v>18000</v>
      </c>
      <c r="L131" s="60" t="n">
        <f aca="false">Retainers!L36+Projects!L38+L122+L130+L123</f>
        <v>18000</v>
      </c>
      <c r="M131" s="60" t="n">
        <f aca="false">Retainers!M36+Projects!M38+M122+M130+M123</f>
        <v>18000</v>
      </c>
      <c r="N131" s="60" t="n">
        <f aca="false">Retainers!N36+Projects!N38+N122+N130+N123</f>
        <v>18000</v>
      </c>
      <c r="O131" s="60" t="n">
        <f aca="false">Retainers!O36+Projects!O38+O122+O130+O123</f>
        <v>18000</v>
      </c>
      <c r="P131" s="60" t="n">
        <f aca="false">Retainers!P36+Projects!P38+P122+P130+P123</f>
        <v>18000</v>
      </c>
      <c r="Q131" s="60" t="n">
        <f aca="false">Retainers!Q36+Projects!Q38+Q122+Q130+Q123</f>
        <v>18000</v>
      </c>
      <c r="R131" s="60" t="n">
        <f aca="false">Retainers!R36+Projects!R38+R122+R130+R123</f>
        <v>18000</v>
      </c>
      <c r="S131" s="60" t="n">
        <f aca="false">Retainers!S36+Projects!S38+S122+S130+S123</f>
        <v>18000</v>
      </c>
      <c r="T131" s="60" t="n">
        <f aca="false">Retainers!T36+Projects!T38+T122+T130+T123</f>
        <v>18000</v>
      </c>
      <c r="U131" s="60" t="n">
        <f aca="false">Retainers!U36+Projects!U38+U122+U130+U123</f>
        <v>18000</v>
      </c>
      <c r="V131" s="60" t="n">
        <f aca="false">Retainers!V36+Projects!V38+V122+V130+V123</f>
        <v>18000</v>
      </c>
      <c r="W131" s="60" t="n">
        <f aca="false">Retainers!W36+Projects!W38+W122+W130+W123</f>
        <v>16848</v>
      </c>
      <c r="X131" s="60" t="n">
        <f aca="false">Retainers!X36+Projects!X38+X122+X130+X123</f>
        <v>16848</v>
      </c>
      <c r="Y131" s="60" t="n">
        <f aca="false">Retainers!Y36+Projects!Y38+Y122+Y130+Y123</f>
        <v>16848</v>
      </c>
      <c r="Z131" s="60" t="n">
        <f aca="false">Retainers!Z36+Projects!Z38+Z122+Z130+Z123</f>
        <v>16848</v>
      </c>
      <c r="AA131" s="60" t="n">
        <f aca="false">Retainers!AA36+Projects!AA38+AA122+AA130+AA123</f>
        <v>16848</v>
      </c>
      <c r="AB131" s="60" t="n">
        <f aca="false">Retainers!AB36+Projects!AB38+AB122+AB130+AB123</f>
        <v>16848</v>
      </c>
    </row>
    <row r="132" customFormat="false" ht="15" hidden="false" customHeight="false" outlineLevel="0" collapsed="false">
      <c r="A132" s="28" t="s">
        <v>714</v>
      </c>
      <c r="B132" s="58" t="s">
        <v>715</v>
      </c>
      <c r="C132" s="59" t="n">
        <f aca="false">SUM(E132:P132)</f>
        <v>0</v>
      </c>
      <c r="D132" s="59" t="n">
        <f aca="false">SUM(Q132:AB132)</f>
        <v>0</v>
      </c>
      <c r="E132" s="60" t="n">
        <f aca="false">E131*Client_Register!$F$12</f>
        <v>0</v>
      </c>
      <c r="F132" s="60" t="n">
        <f aca="false">F131*Client_Register!$F$12</f>
        <v>0</v>
      </c>
      <c r="G132" s="60" t="n">
        <f aca="false">G131*Client_Register!$F$12</f>
        <v>0</v>
      </c>
      <c r="H132" s="60" t="n">
        <f aca="false">H131*Client_Register!$F$12</f>
        <v>0</v>
      </c>
      <c r="I132" s="60" t="n">
        <f aca="false">I131*Client_Register!$F$12</f>
        <v>0</v>
      </c>
      <c r="J132" s="60" t="n">
        <f aca="false">J131*Client_Register!$F$12</f>
        <v>0</v>
      </c>
      <c r="K132" s="60" t="n">
        <f aca="false">K131*Client_Register!$F$12</f>
        <v>0</v>
      </c>
      <c r="L132" s="60" t="n">
        <f aca="false">L131*Client_Register!$F$12</f>
        <v>0</v>
      </c>
      <c r="M132" s="60" t="n">
        <f aca="false">M131*Client_Register!$F$12</f>
        <v>0</v>
      </c>
      <c r="N132" s="60" t="n">
        <f aca="false">N131*Client_Register!$F$12</f>
        <v>0</v>
      </c>
      <c r="O132" s="60" t="n">
        <f aca="false">O131*Client_Register!$F$12</f>
        <v>0</v>
      </c>
      <c r="P132" s="60" t="n">
        <f aca="false">P131*Client_Register!$F$12</f>
        <v>0</v>
      </c>
      <c r="Q132" s="60" t="n">
        <f aca="false">Q131*Client_Register!$F$12</f>
        <v>0</v>
      </c>
      <c r="R132" s="60" t="n">
        <f aca="false">R131*Client_Register!$F$12</f>
        <v>0</v>
      </c>
      <c r="S132" s="60" t="n">
        <f aca="false">S131*Client_Register!$F$12</f>
        <v>0</v>
      </c>
      <c r="T132" s="60" t="n">
        <f aca="false">T131*Client_Register!$F$12</f>
        <v>0</v>
      </c>
      <c r="U132" s="60" t="n">
        <f aca="false">U131*Client_Register!$F$12</f>
        <v>0</v>
      </c>
      <c r="V132" s="60" t="n">
        <f aca="false">V131*Client_Register!$F$12</f>
        <v>0</v>
      </c>
      <c r="W132" s="60" t="n">
        <f aca="false">W131*Client_Register!$F$12</f>
        <v>0</v>
      </c>
      <c r="X132" s="60" t="n">
        <f aca="false">X131*Client_Register!$F$12</f>
        <v>0</v>
      </c>
      <c r="Y132" s="60" t="n">
        <f aca="false">Y131*Client_Register!$F$12</f>
        <v>0</v>
      </c>
      <c r="Z132" s="60" t="n">
        <f aca="false">Z131*Client_Register!$F$12</f>
        <v>0</v>
      </c>
      <c r="AA132" s="60" t="n">
        <f aca="false">AA131*Client_Register!$F$12</f>
        <v>0</v>
      </c>
      <c r="AB132" s="60" t="n">
        <f aca="false">AB131*Client_Register!$F$12</f>
        <v>0</v>
      </c>
    </row>
    <row r="133" customFormat="false" ht="15" hidden="false" customHeight="false" outlineLevel="0" collapsed="false">
      <c r="A133" s="68" t="s">
        <v>716</v>
      </c>
      <c r="B133" s="69"/>
      <c r="C133" s="70" t="n">
        <f aca="false">SUM(E133:P133)</f>
        <v>300000</v>
      </c>
      <c r="D133" s="70" t="n">
        <f aca="false">SUM(Q133:AB133)</f>
        <v>209088</v>
      </c>
      <c r="E133" s="70" t="n">
        <f aca="false">E131+E132</f>
        <v>66000</v>
      </c>
      <c r="F133" s="70" t="n">
        <f aca="false">F131+F132</f>
        <v>18000</v>
      </c>
      <c r="G133" s="70" t="n">
        <f aca="false">G131+G132</f>
        <v>18000</v>
      </c>
      <c r="H133" s="70" t="n">
        <f aca="false">H131+H132</f>
        <v>54000</v>
      </c>
      <c r="I133" s="70" t="n">
        <f aca="false">I131+I132</f>
        <v>18000</v>
      </c>
      <c r="J133" s="70" t="n">
        <f aca="false">J131+J132</f>
        <v>18000</v>
      </c>
      <c r="K133" s="70" t="n">
        <f aca="false">K131+K132</f>
        <v>18000</v>
      </c>
      <c r="L133" s="70" t="n">
        <f aca="false">L131+L132</f>
        <v>18000</v>
      </c>
      <c r="M133" s="70" t="n">
        <f aca="false">M131+M132</f>
        <v>18000</v>
      </c>
      <c r="N133" s="70" t="n">
        <f aca="false">N131+N132</f>
        <v>18000</v>
      </c>
      <c r="O133" s="70" t="n">
        <f aca="false">O131+O132</f>
        <v>18000</v>
      </c>
      <c r="P133" s="70" t="n">
        <f aca="false">P131+P132</f>
        <v>18000</v>
      </c>
      <c r="Q133" s="70" t="n">
        <f aca="false">Q131+Q132</f>
        <v>18000</v>
      </c>
      <c r="R133" s="70" t="n">
        <f aca="false">R131+R132</f>
        <v>18000</v>
      </c>
      <c r="S133" s="70" t="n">
        <f aca="false">S131+S132</f>
        <v>18000</v>
      </c>
      <c r="T133" s="70" t="n">
        <f aca="false">T131+T132</f>
        <v>18000</v>
      </c>
      <c r="U133" s="70" t="n">
        <f aca="false">U131+U132</f>
        <v>18000</v>
      </c>
      <c r="V133" s="70" t="n">
        <f aca="false">V131+V132</f>
        <v>18000</v>
      </c>
      <c r="W133" s="70" t="n">
        <f aca="false">W131+W132</f>
        <v>16848</v>
      </c>
      <c r="X133" s="70" t="n">
        <f aca="false">X131+X132</f>
        <v>16848</v>
      </c>
      <c r="Y133" s="70" t="n">
        <f aca="false">Y131+Y132</f>
        <v>16848</v>
      </c>
      <c r="Z133" s="70" t="n">
        <f aca="false">Z131+Z132</f>
        <v>16848</v>
      </c>
      <c r="AA133" s="70" t="n">
        <f aca="false">AA131+AA132</f>
        <v>16848</v>
      </c>
      <c r="AB133" s="70" t="n">
        <f aca="false">AB131+AB132</f>
        <v>16848</v>
      </c>
    </row>
    <row r="134" customFormat="false" ht="15" hidden="false" customHeight="false" outlineLevel="0" collapsed="false">
      <c r="A134" s="28" t="s">
        <v>717</v>
      </c>
      <c r="B134" s="58" t="s">
        <v>718</v>
      </c>
      <c r="C134" s="59" t="n">
        <f aca="false">SUM(E134:P134)</f>
        <v>301473.86</v>
      </c>
      <c r="D134" s="59" t="n">
        <f aca="false">SUM(Q134:AB134)</f>
        <v>210240</v>
      </c>
      <c r="E134" s="60" t="n">
        <f aca="false">IF(E$5="A",Inputs_Actuals!E118,Client_Register!$T$12+E133-(E133*MIN(1,Client_Register!$J$12/30)+0*MIN(1,MAX(0,(Client_Register!$J$12-30)/30))+0*MIN(1,MAX(0,(Client_Register!$J$12-60)/30))))</f>
        <v>23008.3</v>
      </c>
      <c r="F134" s="60" t="n">
        <f aca="false">IF(F$5="A",Inputs_Actuals!F118,E135+F133-(F133*MIN(1,Client_Register!$J$12/30)+E133*MIN(1,MAX(0,(Client_Register!$J$12-30)/30))+0*MIN(1,MAX(0,(Client_Register!$J$12-60)/30))))</f>
        <v>62068.25</v>
      </c>
      <c r="G134" s="60" t="n">
        <f aca="false">IF(G$5="A",Inputs_Actuals!G118,F135+G133-(G133*MIN(1,Client_Register!$J$12/30)+F133*MIN(1,MAX(0,(Client_Register!$J$12-30)/30))+E133*MIN(1,MAX(0,(Client_Register!$J$12-60)/30))))</f>
        <v>18299.53</v>
      </c>
      <c r="H134" s="60" t="n">
        <f aca="false">IF(H$5="A",Inputs_Actuals!H118,G135+H133-(H133*MIN(1,Client_Register!$J$12/30)+G133*MIN(1,MAX(0,(Client_Register!$J$12-30)/30))+F133*MIN(1,MAX(0,(Client_Register!$J$12-60)/30))))</f>
        <v>20094.93</v>
      </c>
      <c r="I134" s="60" t="n">
        <f aca="false">IF(I$5="A",Inputs_Actuals!I118,H135+I133-(I133*MIN(1,Client_Register!$J$12/30)+H133*MIN(1,MAX(0,(Client_Register!$J$12-30)/30))+G133*MIN(1,MAX(0,(Client_Register!$J$12-60)/30))))</f>
        <v>49958.26</v>
      </c>
      <c r="J134" s="60" t="n">
        <f aca="false">IF(J$5="A",Inputs_Actuals!J118,I135+J133-(J133*MIN(1,Client_Register!$J$12/30)+I133*MIN(1,MAX(0,(Client_Register!$J$12-30)/30))+H133*MIN(1,MAX(0,(Client_Register!$J$12-60)/30))))</f>
        <v>18207.37</v>
      </c>
      <c r="K134" s="60" t="n">
        <f aca="false">IF(K$5="A",Inputs_Actuals!K118,J135+K133-(K133*MIN(1,Client_Register!$J$12/30)+J133*MIN(1,MAX(0,(Client_Register!$J$12-30)/30))+I133*MIN(1,MAX(0,(Client_Register!$J$12-60)/30))))</f>
        <v>20703.32</v>
      </c>
      <c r="L134" s="60" t="n">
        <f aca="false">IF(L$5="A",Inputs_Actuals!L118,K135+L133-(L133*MIN(1,Client_Register!$J$12/30)+K133*MIN(1,MAX(0,(Client_Register!$J$12-30)/30))+J133*MIN(1,MAX(0,(Client_Register!$J$12-60)/30))))</f>
        <v>17431.82</v>
      </c>
      <c r="M134" s="60" t="n">
        <f aca="false">IF(M$5="A",Inputs_Actuals!M118,L135+M133-(M133*MIN(1,Client_Register!$J$12/30)+L133*MIN(1,MAX(0,(Client_Register!$J$12-30)/30))+K133*MIN(1,MAX(0,(Client_Register!$J$12-60)/30))))</f>
        <v>17702.08</v>
      </c>
      <c r="N134" s="60" t="n">
        <f aca="false">IF(N$5="A",Inputs_Actuals!N118,M135+N133-(N133*MIN(1,Client_Register!$J$12/30)+M133*MIN(1,MAX(0,(Client_Register!$J$12-30)/30))+L133*MIN(1,MAX(0,(Client_Register!$J$12-60)/30))))</f>
        <v>18000</v>
      </c>
      <c r="O134" s="60" t="n">
        <f aca="false">IF(O$5="A",Inputs_Actuals!O118,N135+O133-(O133*MIN(1,Client_Register!$J$12/30)+N133*MIN(1,MAX(0,(Client_Register!$J$12-30)/30))+M133*MIN(1,MAX(0,(Client_Register!$J$12-60)/30))))</f>
        <v>18000</v>
      </c>
      <c r="P134" s="60" t="n">
        <f aca="false">IF(P$5="A",Inputs_Actuals!P118,O135+P133-(P133*MIN(1,Client_Register!$J$12/30)+O133*MIN(1,MAX(0,(Client_Register!$J$12-30)/30))+N133*MIN(1,MAX(0,(Client_Register!$J$12-60)/30))))</f>
        <v>18000</v>
      </c>
      <c r="Q134" s="60" t="n">
        <f aca="false">IF(Q$5="A",Inputs_Actuals!Q118,P135+Q133-(Q133*MIN(1,Client_Register!$J$12/30)+P133*MIN(1,MAX(0,(Client_Register!$J$12-30)/30))+O133*MIN(1,MAX(0,(Client_Register!$J$12-60)/30))))</f>
        <v>18000</v>
      </c>
      <c r="R134" s="60" t="n">
        <f aca="false">IF(R$5="A",Inputs_Actuals!R118,Q135+R133-(R133*MIN(1,Client_Register!$J$12/30)+Q133*MIN(1,MAX(0,(Client_Register!$J$12-30)/30))+P133*MIN(1,MAX(0,(Client_Register!$J$12-60)/30))))</f>
        <v>18000</v>
      </c>
      <c r="S134" s="60" t="n">
        <f aca="false">IF(S$5="A",Inputs_Actuals!S118,R135+S133-(S133*MIN(1,Client_Register!$J$12/30)+R133*MIN(1,MAX(0,(Client_Register!$J$12-30)/30))+Q133*MIN(1,MAX(0,(Client_Register!$J$12-60)/30))))</f>
        <v>18000</v>
      </c>
      <c r="T134" s="60" t="n">
        <f aca="false">IF(T$5="A",Inputs_Actuals!T118,S135+T133-(T133*MIN(1,Client_Register!$J$12/30)+S133*MIN(1,MAX(0,(Client_Register!$J$12-30)/30))+R133*MIN(1,MAX(0,(Client_Register!$J$12-60)/30))))</f>
        <v>18000</v>
      </c>
      <c r="U134" s="60" t="n">
        <f aca="false">IF(U$5="A",Inputs_Actuals!U118,T135+U133-(U133*MIN(1,Client_Register!$J$12/30)+T133*MIN(1,MAX(0,(Client_Register!$J$12-30)/30))+S133*MIN(1,MAX(0,(Client_Register!$J$12-60)/30))))</f>
        <v>18000</v>
      </c>
      <c r="V134" s="60" t="n">
        <f aca="false">IF(V$5="A",Inputs_Actuals!V118,U135+V133-(V133*MIN(1,Client_Register!$J$12/30)+U133*MIN(1,MAX(0,(Client_Register!$J$12-30)/30))+T133*MIN(1,MAX(0,(Client_Register!$J$12-60)/30))))</f>
        <v>18000</v>
      </c>
      <c r="W134" s="60" t="n">
        <f aca="false">IF(W$5="A",Inputs_Actuals!W118,V135+W133-(W133*MIN(1,Client_Register!$J$12/30)+V133*MIN(1,MAX(0,(Client_Register!$J$12-30)/30))+U133*MIN(1,MAX(0,(Client_Register!$J$12-60)/30))))</f>
        <v>18000</v>
      </c>
      <c r="X134" s="60" t="n">
        <f aca="false">IF(X$5="A",Inputs_Actuals!X118,W135+X133-(X133*MIN(1,Client_Register!$J$12/30)+W133*MIN(1,MAX(0,(Client_Register!$J$12-30)/30))+V133*MIN(1,MAX(0,(Client_Register!$J$12-60)/30))))</f>
        <v>16848</v>
      </c>
      <c r="Y134" s="60" t="n">
        <f aca="false">IF(Y$5="A",Inputs_Actuals!Y118,X135+Y133-(Y133*MIN(1,Client_Register!$J$12/30)+X133*MIN(1,MAX(0,(Client_Register!$J$12-30)/30))+W133*MIN(1,MAX(0,(Client_Register!$J$12-60)/30))))</f>
        <v>16848</v>
      </c>
      <c r="Z134" s="60" t="n">
        <f aca="false">IF(Z$5="A",Inputs_Actuals!Z118,Y135+Z133-(Z133*MIN(1,Client_Register!$J$12/30)+Y133*MIN(1,MAX(0,(Client_Register!$J$12-30)/30))+X133*MIN(1,MAX(0,(Client_Register!$J$12-60)/30))))</f>
        <v>16848</v>
      </c>
      <c r="AA134" s="60" t="n">
        <f aca="false">IF(AA$5="A",Inputs_Actuals!AA118,Z135+AA133-(AA133*MIN(1,Client_Register!$J$12/30)+Z133*MIN(1,MAX(0,(Client_Register!$J$12-30)/30))+Y133*MIN(1,MAX(0,(Client_Register!$J$12-60)/30))))</f>
        <v>16848</v>
      </c>
      <c r="AB134" s="60" t="n">
        <f aca="false">IF(AB$5="A",Inputs_Actuals!AB118,AA135+AB133-(AB133*MIN(1,Client_Register!$J$12/30)+AA133*MIN(1,MAX(0,(Client_Register!$J$12-30)/30))+Z133*MIN(1,MAX(0,(Client_Register!$J$12-60)/30))))</f>
        <v>16848</v>
      </c>
    </row>
    <row r="135" customFormat="false" ht="15" hidden="false" customHeight="false" outlineLevel="0" collapsed="false">
      <c r="A135" s="68" t="s">
        <v>719</v>
      </c>
      <c r="B135" s="69" t="s">
        <v>720</v>
      </c>
      <c r="C135" s="70" t="n">
        <f aca="false">P135</f>
        <v>18000</v>
      </c>
      <c r="D135" s="70" t="n">
        <f aca="false">AB135</f>
        <v>16848</v>
      </c>
      <c r="E135" s="74" t="n">
        <f aca="false">Client_Register!$T$12+E133-E134</f>
        <v>62465.56</v>
      </c>
      <c r="F135" s="70" t="n">
        <f aca="false">E135+F133-F134</f>
        <v>18397.31</v>
      </c>
      <c r="G135" s="70" t="n">
        <f aca="false">F135+G133-G134</f>
        <v>18097.78</v>
      </c>
      <c r="H135" s="70" t="n">
        <f aca="false">G135+H133-H134</f>
        <v>52002.85</v>
      </c>
      <c r="I135" s="70" t="n">
        <f aca="false">H135+I133-I134</f>
        <v>20044.59</v>
      </c>
      <c r="J135" s="70" t="n">
        <f aca="false">I135+J133-J134</f>
        <v>19837.22</v>
      </c>
      <c r="K135" s="70" t="n">
        <f aca="false">J135+K133-K134</f>
        <v>17133.9</v>
      </c>
      <c r="L135" s="70" t="n">
        <f aca="false">K135+L133-L134</f>
        <v>17702.08</v>
      </c>
      <c r="M135" s="70" t="n">
        <f aca="false">L135+M133-M134</f>
        <v>18000</v>
      </c>
      <c r="N135" s="70" t="n">
        <f aca="false">M135+N133-N134</f>
        <v>18000</v>
      </c>
      <c r="O135" s="70" t="n">
        <f aca="false">N135+O133-O134</f>
        <v>18000</v>
      </c>
      <c r="P135" s="70" t="n">
        <f aca="false">O135+P133-P134</f>
        <v>18000</v>
      </c>
      <c r="Q135" s="70" t="n">
        <f aca="false">P135+Q133-Q134</f>
        <v>18000</v>
      </c>
      <c r="R135" s="70" t="n">
        <f aca="false">Q135+R133-R134</f>
        <v>18000</v>
      </c>
      <c r="S135" s="70" t="n">
        <f aca="false">R135+S133-S134</f>
        <v>18000</v>
      </c>
      <c r="T135" s="70" t="n">
        <f aca="false">S135+T133-T134</f>
        <v>18000</v>
      </c>
      <c r="U135" s="70" t="n">
        <f aca="false">T135+U133-U134</f>
        <v>18000</v>
      </c>
      <c r="V135" s="70" t="n">
        <f aca="false">U135+V133-V134</f>
        <v>18000</v>
      </c>
      <c r="W135" s="70" t="n">
        <f aca="false">V135+W133-W134</f>
        <v>16848</v>
      </c>
      <c r="X135" s="70" t="n">
        <f aca="false">W135+X133-X134</f>
        <v>16848</v>
      </c>
      <c r="Y135" s="70" t="n">
        <f aca="false">X135+Y133-Y134</f>
        <v>16848</v>
      </c>
      <c r="Z135" s="70" t="n">
        <f aca="false">Y135+Z133-Z134</f>
        <v>16848</v>
      </c>
      <c r="AA135" s="70" t="n">
        <f aca="false">Z135+AA133-AA134</f>
        <v>16848</v>
      </c>
      <c r="AB135" s="70" t="n">
        <f aca="false">AA135+AB133-AB134</f>
        <v>16848</v>
      </c>
    </row>
    <row r="136" customFormat="false" ht="15" hidden="false" customHeight="false" outlineLevel="0" collapsed="false">
      <c r="A136" s="28" t="s">
        <v>721</v>
      </c>
      <c r="B136" s="58" t="s">
        <v>722</v>
      </c>
      <c r="C136" s="59" t="n">
        <f aca="false">P136</f>
        <v>0</v>
      </c>
      <c r="D136" s="59" t="n">
        <f aca="false">AB136</f>
        <v>0</v>
      </c>
      <c r="E136" s="60" t="n">
        <f aca="false">Client_Register!$U$12+E124-(E131-E130)</f>
        <v>-1209.60000000001</v>
      </c>
      <c r="F136" s="71" t="n">
        <f aca="false">E136+F124-(F131-F130)</f>
        <v>16670.77</v>
      </c>
      <c r="G136" s="71" t="n">
        <f aca="false">F136+G124-(G131-G130)</f>
        <v>30563.08</v>
      </c>
      <c r="H136" s="71" t="n">
        <f aca="false">G136+H124-(H131-H130)</f>
        <v>0</v>
      </c>
      <c r="I136" s="71" t="n">
        <f aca="false">H136+I124-(I131-I130)</f>
        <v>0</v>
      </c>
      <c r="J136" s="71" t="n">
        <f aca="false">I136+J124-(J131-J130)</f>
        <v>0</v>
      </c>
      <c r="K136" s="71" t="n">
        <f aca="false">J136+K124-(K131-K130)</f>
        <v>0</v>
      </c>
      <c r="L136" s="71" t="n">
        <f aca="false">K136+L124-(L131-L130)</f>
        <v>0</v>
      </c>
      <c r="M136" s="71" t="n">
        <f aca="false">L136+M124-(M131-M130)</f>
        <v>0</v>
      </c>
      <c r="N136" s="71" t="n">
        <f aca="false">M136+N124-(N131-N130)</f>
        <v>0</v>
      </c>
      <c r="O136" s="71" t="n">
        <f aca="false">N136+O124-(O131-O130)</f>
        <v>0</v>
      </c>
      <c r="P136" s="71" t="n">
        <f aca="false">O136+P124-(P131-P130)</f>
        <v>0</v>
      </c>
      <c r="Q136" s="71" t="n">
        <f aca="false">P136+Q124-(Q131-Q130)</f>
        <v>0</v>
      </c>
      <c r="R136" s="71" t="n">
        <f aca="false">Q136+R124-(R131-R130)</f>
        <v>0</v>
      </c>
      <c r="S136" s="71" t="n">
        <f aca="false">R136+S124-(S131-S130)</f>
        <v>0</v>
      </c>
      <c r="T136" s="71" t="n">
        <f aca="false">S136+T124-(T131-T130)</f>
        <v>0</v>
      </c>
      <c r="U136" s="71" t="n">
        <f aca="false">T136+U124-(U131-U130)</f>
        <v>0</v>
      </c>
      <c r="V136" s="71" t="n">
        <f aca="false">U136+V124-(V131-V130)</f>
        <v>0</v>
      </c>
      <c r="W136" s="71" t="n">
        <f aca="false">V136+W124-(W131-W130)</f>
        <v>0</v>
      </c>
      <c r="X136" s="71" t="n">
        <f aca="false">W136+X124-(X131-X130)</f>
        <v>0</v>
      </c>
      <c r="Y136" s="71" t="n">
        <f aca="false">X136+Y124-(Y131-Y130)</f>
        <v>0</v>
      </c>
      <c r="Z136" s="71" t="n">
        <f aca="false">Y136+Z124-(Z131-Z130)</f>
        <v>0</v>
      </c>
      <c r="AA136" s="71" t="n">
        <f aca="false">Z136+AA124-(AA131-AA130)</f>
        <v>0</v>
      </c>
      <c r="AB136" s="71" t="n">
        <f aca="false">AA136+AB124-(AB131-AB130)</f>
        <v>0</v>
      </c>
    </row>
    <row r="137" customFormat="false" ht="15" hidden="false" customHeight="false" outlineLevel="0" collapsed="false">
      <c r="A137" s="28" t="s">
        <v>723</v>
      </c>
      <c r="B137" s="58"/>
      <c r="C137" s="59" t="n">
        <f aca="false">P137</f>
        <v>21016.2525686531</v>
      </c>
      <c r="D137" s="59" t="n">
        <f aca="false">AB137</f>
        <v>19671.2124042593</v>
      </c>
      <c r="E137" s="60" t="n">
        <f aca="false">E135/FX!E10</f>
        <v>72114.477026091</v>
      </c>
      <c r="F137" s="60" t="n">
        <f aca="false">F135/FX!F10</f>
        <v>20994.305603104</v>
      </c>
      <c r="G137" s="60" t="n">
        <f aca="false">G135/FX!G10</f>
        <v>20842.0531364804</v>
      </c>
      <c r="H137" s="60" t="n">
        <f aca="false">H135/FX!H10</f>
        <v>60032.1500721501</v>
      </c>
      <c r="I137" s="60" t="n">
        <f aca="false">I135/FX!I10</f>
        <v>23113.3493998132</v>
      </c>
      <c r="J137" s="60" t="n">
        <f aca="false">J135/FX!J10</f>
        <v>23018.8911323076</v>
      </c>
      <c r="K137" s="60" t="n">
        <f aca="false">K135/FX!K10</f>
        <v>20022.5538429177</v>
      </c>
      <c r="L137" s="60" t="n">
        <f aca="false">L135/FX!L10</f>
        <v>20668.4102372501</v>
      </c>
      <c r="M137" s="60" t="n">
        <f aca="false">M135/FX!M10</f>
        <v>21016.2525686531</v>
      </c>
      <c r="N137" s="60" t="n">
        <f aca="false">N135/FX!N10</f>
        <v>21016.2525686531</v>
      </c>
      <c r="O137" s="60" t="n">
        <f aca="false">O135/FX!O10</f>
        <v>21016.2525686531</v>
      </c>
      <c r="P137" s="60" t="n">
        <f aca="false">P135/FX!P10</f>
        <v>21016.2525686531</v>
      </c>
      <c r="Q137" s="60" t="n">
        <f aca="false">Q135/FX!Q10</f>
        <v>21016.2525686531</v>
      </c>
      <c r="R137" s="60" t="n">
        <f aca="false">R135/FX!R10</f>
        <v>21016.2525686531</v>
      </c>
      <c r="S137" s="60" t="n">
        <f aca="false">S135/FX!S10</f>
        <v>21016.2525686531</v>
      </c>
      <c r="T137" s="60" t="n">
        <f aca="false">T135/FX!T10</f>
        <v>21016.2525686531</v>
      </c>
      <c r="U137" s="60" t="n">
        <f aca="false">U135/FX!U10</f>
        <v>21016.2525686531</v>
      </c>
      <c r="V137" s="60" t="n">
        <f aca="false">V135/FX!V10</f>
        <v>21016.2525686531</v>
      </c>
      <c r="W137" s="60" t="n">
        <f aca="false">W135/FX!W10</f>
        <v>19671.2124042593</v>
      </c>
      <c r="X137" s="60" t="n">
        <f aca="false">X135/FX!X10</f>
        <v>19671.2124042593</v>
      </c>
      <c r="Y137" s="60" t="n">
        <f aca="false">Y135/FX!Y10</f>
        <v>19671.2124042593</v>
      </c>
      <c r="Z137" s="60" t="n">
        <f aca="false">Z135/FX!Z10</f>
        <v>19671.2124042593</v>
      </c>
      <c r="AA137" s="60" t="n">
        <f aca="false">AA135/FX!AA10</f>
        <v>19671.2124042593</v>
      </c>
      <c r="AB137" s="60" t="n">
        <f aca="false">AB135/FX!AB10</f>
        <v>19671.2124042593</v>
      </c>
    </row>
    <row r="138" customFormat="false" ht="15" hidden="false" customHeight="false" outlineLevel="0" collapsed="false">
      <c r="A138" s="28" t="s">
        <v>724</v>
      </c>
      <c r="B138" s="58"/>
      <c r="C138" s="66" t="n">
        <f aca="false">P138</f>
        <v>30.4</v>
      </c>
      <c r="D138" s="66" t="n">
        <f aca="false">AB138</f>
        <v>30.4</v>
      </c>
      <c r="E138" s="72" t="n">
        <f aca="false">IFERROR(E135/AVERAGE(E133:E133)*30.4,0)</f>
        <v>28.7720155151515</v>
      </c>
      <c r="F138" s="72" t="n">
        <f aca="false">IFERROR(F135/AVERAGE(E133:F133)*30.4,0)</f>
        <v>13.3161481904762</v>
      </c>
      <c r="G138" s="72" t="n">
        <f aca="false">IFERROR(G135/AVERAGE(E133:G133)*30.4,0)</f>
        <v>16.1815444705882</v>
      </c>
      <c r="H138" s="72" t="n">
        <f aca="false">IFERROR(H135/AVERAGE(F133:H133)*30.4,0)</f>
        <v>52.6962213333333</v>
      </c>
      <c r="I138" s="72" t="n">
        <f aca="false">IFERROR(I135/AVERAGE(G133:I133)*30.4,0)</f>
        <v>20.3118512</v>
      </c>
      <c r="J138" s="72" t="n">
        <f aca="false">IFERROR(J135/AVERAGE(H133:J133)*30.4,0)</f>
        <v>20.1017162666667</v>
      </c>
      <c r="K138" s="72" t="n">
        <f aca="false">IFERROR(K135/AVERAGE(I133:K133)*30.4,0)</f>
        <v>28.9372533333333</v>
      </c>
      <c r="L138" s="72" t="n">
        <f aca="false">IFERROR(L135/AVERAGE(J133:L133)*30.4,0)</f>
        <v>29.8968462222222</v>
      </c>
      <c r="M138" s="72" t="n">
        <f aca="false">IFERROR(M135/AVERAGE(K133:M133)*30.4,0)</f>
        <v>30.4</v>
      </c>
      <c r="N138" s="72" t="n">
        <f aca="false">IFERROR(N135/AVERAGE(L133:N133)*30.4,0)</f>
        <v>30.4</v>
      </c>
      <c r="O138" s="72" t="n">
        <f aca="false">IFERROR(O135/AVERAGE(M133:O133)*30.4,0)</f>
        <v>30.4</v>
      </c>
      <c r="P138" s="72" t="n">
        <f aca="false">IFERROR(P135/AVERAGE(N133:P133)*30.4,0)</f>
        <v>30.4</v>
      </c>
      <c r="Q138" s="72" t="n">
        <f aca="false">IFERROR(Q135/AVERAGE(O133:Q133)*30.4,0)</f>
        <v>30.4</v>
      </c>
      <c r="R138" s="72" t="n">
        <f aca="false">IFERROR(R135/AVERAGE(P133:R133)*30.4,0)</f>
        <v>30.4</v>
      </c>
      <c r="S138" s="72" t="n">
        <f aca="false">IFERROR(S135/AVERAGE(Q133:S133)*30.4,0)</f>
        <v>30.4</v>
      </c>
      <c r="T138" s="72" t="n">
        <f aca="false">IFERROR(T135/AVERAGE(R133:T133)*30.4,0)</f>
        <v>30.4</v>
      </c>
      <c r="U138" s="72" t="n">
        <f aca="false">IFERROR(U135/AVERAGE(S133:U133)*30.4,0)</f>
        <v>30.4</v>
      </c>
      <c r="V138" s="72" t="n">
        <f aca="false">IFERROR(V135/AVERAGE(T133:V133)*30.4,0)</f>
        <v>30.4</v>
      </c>
      <c r="W138" s="72" t="n">
        <f aca="false">IFERROR(W135/AVERAGE(U133:W133)*30.4,0)</f>
        <v>29.074659400545</v>
      </c>
      <c r="X138" s="72" t="n">
        <f aca="false">IFERROR(X135/AVERAGE(V133:X133)*30.4,0)</f>
        <v>29.7225626740947</v>
      </c>
      <c r="Y138" s="72" t="n">
        <f aca="false">IFERROR(Y135/AVERAGE(W133:Y133)*30.4,0)</f>
        <v>30.4</v>
      </c>
      <c r="Z138" s="72" t="n">
        <f aca="false">IFERROR(Z135/AVERAGE(X133:Z133)*30.4,0)</f>
        <v>30.4</v>
      </c>
      <c r="AA138" s="72" t="n">
        <f aca="false">IFERROR(AA135/AVERAGE(Y133:AA133)*30.4,0)</f>
        <v>30.4</v>
      </c>
      <c r="AB138" s="72" t="n">
        <f aca="false">IFERROR(AB135/AVERAGE(Z133:AB133)*30.4,0)</f>
        <v>30.4</v>
      </c>
    </row>
    <row r="140" customFormat="false" ht="15" hidden="false" customHeight="false" outlineLevel="0" collapsed="false">
      <c r="A140" s="22" t="s">
        <v>730</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row>
    <row r="141" customFormat="false" ht="15" hidden="false" customHeight="false" outlineLevel="0" collapsed="false">
      <c r="A141" s="28" t="s">
        <v>331</v>
      </c>
      <c r="B141" s="58" t="s">
        <v>49</v>
      </c>
      <c r="C141" s="59" t="n">
        <f aca="false">SUM(E141:P141)</f>
        <v>0</v>
      </c>
      <c r="D141" s="59" t="n">
        <f aca="false">SUM(Q141:AB141)</f>
        <v>0</v>
      </c>
      <c r="E141" s="71" t="n">
        <f aca="false">0</f>
        <v>0</v>
      </c>
      <c r="F141" s="71" t="n">
        <f aca="false">0</f>
        <v>0</v>
      </c>
      <c r="G141" s="71" t="n">
        <f aca="false">0</f>
        <v>0</v>
      </c>
      <c r="H141" s="71" t="n">
        <f aca="false">0</f>
        <v>0</v>
      </c>
      <c r="I141" s="71" t="n">
        <f aca="false">0</f>
        <v>0</v>
      </c>
      <c r="J141" s="71" t="n">
        <f aca="false">0</f>
        <v>0</v>
      </c>
      <c r="K141" s="71" t="n">
        <f aca="false">0</f>
        <v>0</v>
      </c>
      <c r="L141" s="71" t="n">
        <f aca="false">0</f>
        <v>0</v>
      </c>
      <c r="M141" s="71" t="n">
        <f aca="false">0</f>
        <v>0</v>
      </c>
      <c r="N141" s="71" t="n">
        <f aca="false">0</f>
        <v>0</v>
      </c>
      <c r="O141" s="71" t="n">
        <f aca="false">0</f>
        <v>0</v>
      </c>
      <c r="P141" s="71" t="n">
        <f aca="false">0</f>
        <v>0</v>
      </c>
      <c r="Q141" s="71" t="n">
        <f aca="false">0</f>
        <v>0</v>
      </c>
      <c r="R141" s="71" t="n">
        <f aca="false">0</f>
        <v>0</v>
      </c>
      <c r="S141" s="71" t="n">
        <f aca="false">0</f>
        <v>0</v>
      </c>
      <c r="T141" s="71" t="n">
        <f aca="false">0</f>
        <v>0</v>
      </c>
      <c r="U141" s="71" t="n">
        <f aca="false">0</f>
        <v>0</v>
      </c>
      <c r="V141" s="71" t="n">
        <f aca="false">0</f>
        <v>0</v>
      </c>
      <c r="W141" s="71" t="n">
        <f aca="false">0</f>
        <v>0</v>
      </c>
      <c r="X141" s="71" t="n">
        <f aca="false">0</f>
        <v>0</v>
      </c>
      <c r="Y141" s="71" t="n">
        <f aca="false">0</f>
        <v>0</v>
      </c>
      <c r="Z141" s="71" t="n">
        <f aca="false">0</f>
        <v>0</v>
      </c>
      <c r="AA141" s="71" t="n">
        <f aca="false">0</f>
        <v>0</v>
      </c>
      <c r="AB141" s="71" t="n">
        <f aca="false">0</f>
        <v>0</v>
      </c>
    </row>
    <row r="142" customFormat="false" ht="15" hidden="false" customHeight="false" outlineLevel="0" collapsed="false">
      <c r="A142" s="28" t="s">
        <v>700</v>
      </c>
      <c r="B142" s="58" t="s">
        <v>51</v>
      </c>
      <c r="C142" s="59" t="n">
        <f aca="false">SUM(E142:P142)</f>
        <v>56000</v>
      </c>
      <c r="D142" s="59" t="n">
        <f aca="false">SUM(Q142:AB142)</f>
        <v>0</v>
      </c>
      <c r="E142" s="60" t="n">
        <f aca="false">Projects!E126</f>
        <v>0</v>
      </c>
      <c r="F142" s="60" t="n">
        <f aca="false">Projects!F126</f>
        <v>0</v>
      </c>
      <c r="G142" s="60" t="n">
        <f aca="false">Projects!G126</f>
        <v>0</v>
      </c>
      <c r="H142" s="60" t="n">
        <f aca="false">Projects!H126</f>
        <v>0</v>
      </c>
      <c r="I142" s="60" t="n">
        <f aca="false">Projects!I126</f>
        <v>0</v>
      </c>
      <c r="J142" s="60" t="n">
        <f aca="false">Projects!J126</f>
        <v>4220</v>
      </c>
      <c r="K142" s="60" t="n">
        <f aca="false">Projects!K126</f>
        <v>10360</v>
      </c>
      <c r="L142" s="60" t="n">
        <f aca="false">Projects!L126</f>
        <v>12960</v>
      </c>
      <c r="M142" s="60" t="n">
        <f aca="false">Projects!M126</f>
        <v>13702.962962963</v>
      </c>
      <c r="N142" s="60" t="n">
        <f aca="false">Projects!N126</f>
        <v>10540.7407407407</v>
      </c>
      <c r="O142" s="60" t="n">
        <f aca="false">Projects!O126</f>
        <v>4216.29629629629</v>
      </c>
      <c r="P142" s="60" t="n">
        <f aca="false">Projects!P126</f>
        <v>0</v>
      </c>
      <c r="Q142" s="60" t="n">
        <f aca="false">Projects!Q126</f>
        <v>0</v>
      </c>
      <c r="R142" s="60" t="n">
        <f aca="false">Projects!R126</f>
        <v>0</v>
      </c>
      <c r="S142" s="60" t="n">
        <f aca="false">Projects!S126</f>
        <v>0</v>
      </c>
      <c r="T142" s="60" t="n">
        <f aca="false">Projects!T126</f>
        <v>0</v>
      </c>
      <c r="U142" s="60" t="n">
        <f aca="false">Projects!U126</f>
        <v>0</v>
      </c>
      <c r="V142" s="60" t="n">
        <f aca="false">Projects!V126</f>
        <v>0</v>
      </c>
      <c r="W142" s="60" t="n">
        <f aca="false">Projects!W126</f>
        <v>0</v>
      </c>
      <c r="X142" s="60" t="n">
        <f aca="false">Projects!X126</f>
        <v>0</v>
      </c>
      <c r="Y142" s="60" t="n">
        <f aca="false">Projects!Y126</f>
        <v>0</v>
      </c>
      <c r="Z142" s="60" t="n">
        <f aca="false">Projects!Z126</f>
        <v>0</v>
      </c>
      <c r="AA142" s="60" t="n">
        <f aca="false">Projects!AA126</f>
        <v>0</v>
      </c>
      <c r="AB142" s="60" t="n">
        <f aca="false">Projects!AB126</f>
        <v>0</v>
      </c>
    </row>
    <row r="143" customFormat="false" ht="15" hidden="false" customHeight="false" outlineLevel="0" collapsed="false">
      <c r="A143" s="28" t="s">
        <v>333</v>
      </c>
      <c r="B143" s="58" t="s">
        <v>53</v>
      </c>
      <c r="C143" s="59" t="n">
        <f aca="false">SUM(E143:P143)</f>
        <v>0</v>
      </c>
      <c r="D143" s="59" t="n">
        <f aca="false">SUM(Q143:AB143)</f>
        <v>0</v>
      </c>
      <c r="E143" s="71" t="n">
        <f aca="false">0</f>
        <v>0</v>
      </c>
      <c r="F143" s="71" t="n">
        <f aca="false">0</f>
        <v>0</v>
      </c>
      <c r="G143" s="71" t="n">
        <f aca="false">0</f>
        <v>0</v>
      </c>
      <c r="H143" s="71" t="n">
        <f aca="false">0</f>
        <v>0</v>
      </c>
      <c r="I143" s="71" t="n">
        <f aca="false">0</f>
        <v>0</v>
      </c>
      <c r="J143" s="71" t="n">
        <f aca="false">0</f>
        <v>0</v>
      </c>
      <c r="K143" s="71" t="n">
        <f aca="false">0</f>
        <v>0</v>
      </c>
      <c r="L143" s="71" t="n">
        <f aca="false">0</f>
        <v>0</v>
      </c>
      <c r="M143" s="71" t="n">
        <f aca="false">0</f>
        <v>0</v>
      </c>
      <c r="N143" s="71" t="n">
        <f aca="false">0</f>
        <v>0</v>
      </c>
      <c r="O143" s="71" t="n">
        <f aca="false">0</f>
        <v>0</v>
      </c>
      <c r="P143" s="71" t="n">
        <f aca="false">0</f>
        <v>0</v>
      </c>
      <c r="Q143" s="71" t="n">
        <f aca="false">0</f>
        <v>0</v>
      </c>
      <c r="R143" s="71" t="n">
        <f aca="false">0</f>
        <v>0</v>
      </c>
      <c r="S143" s="71" t="n">
        <f aca="false">0</f>
        <v>0</v>
      </c>
      <c r="T143" s="71" t="n">
        <f aca="false">0</f>
        <v>0</v>
      </c>
      <c r="U143" s="71" t="n">
        <f aca="false">0</f>
        <v>0</v>
      </c>
      <c r="V143" s="71" t="n">
        <f aca="false">0</f>
        <v>0</v>
      </c>
      <c r="W143" s="71" t="n">
        <f aca="false">0</f>
        <v>0</v>
      </c>
      <c r="X143" s="71" t="n">
        <f aca="false">0</f>
        <v>0</v>
      </c>
      <c r="Y143" s="71" t="n">
        <f aca="false">0</f>
        <v>0</v>
      </c>
      <c r="Z143" s="71" t="n">
        <f aca="false">0</f>
        <v>0</v>
      </c>
      <c r="AA143" s="71" t="n">
        <f aca="false">0</f>
        <v>0</v>
      </c>
      <c r="AB143" s="71" t="n">
        <f aca="false">0</f>
        <v>0</v>
      </c>
    </row>
    <row r="144" customFormat="false" ht="15" hidden="false" customHeight="false" outlineLevel="0" collapsed="false">
      <c r="A144" s="28" t="s">
        <v>334</v>
      </c>
      <c r="B144" s="58" t="s">
        <v>53</v>
      </c>
      <c r="C144" s="59" t="n">
        <f aca="false">SUM(E144:P144)</f>
        <v>0</v>
      </c>
      <c r="D144" s="59" t="n">
        <f aca="false">SUM(Q144:AB144)</f>
        <v>0</v>
      </c>
      <c r="E144" s="71" t="n">
        <f aca="false">0</f>
        <v>0</v>
      </c>
      <c r="F144" s="71" t="n">
        <f aca="false">0</f>
        <v>0</v>
      </c>
      <c r="G144" s="71" t="n">
        <f aca="false">0</f>
        <v>0</v>
      </c>
      <c r="H144" s="71" t="n">
        <f aca="false">0</f>
        <v>0</v>
      </c>
      <c r="I144" s="71" t="n">
        <f aca="false">0</f>
        <v>0</v>
      </c>
      <c r="J144" s="71" t="n">
        <f aca="false">0</f>
        <v>0</v>
      </c>
      <c r="K144" s="71" t="n">
        <f aca="false">0</f>
        <v>0</v>
      </c>
      <c r="L144" s="71" t="n">
        <f aca="false">0</f>
        <v>0</v>
      </c>
      <c r="M144" s="71" t="n">
        <f aca="false">0</f>
        <v>0</v>
      </c>
      <c r="N144" s="71" t="n">
        <f aca="false">0</f>
        <v>0</v>
      </c>
      <c r="O144" s="71" t="n">
        <f aca="false">0</f>
        <v>0</v>
      </c>
      <c r="P144" s="71" t="n">
        <f aca="false">0</f>
        <v>0</v>
      </c>
      <c r="Q144" s="71" t="n">
        <f aca="false">0</f>
        <v>0</v>
      </c>
      <c r="R144" s="71" t="n">
        <f aca="false">0</f>
        <v>0</v>
      </c>
      <c r="S144" s="71" t="n">
        <f aca="false">0</f>
        <v>0</v>
      </c>
      <c r="T144" s="71" t="n">
        <f aca="false">0</f>
        <v>0</v>
      </c>
      <c r="U144" s="71" t="n">
        <f aca="false">0</f>
        <v>0</v>
      </c>
      <c r="V144" s="71" t="n">
        <f aca="false">0</f>
        <v>0</v>
      </c>
      <c r="W144" s="71" t="n">
        <f aca="false">0</f>
        <v>0</v>
      </c>
      <c r="X144" s="71" t="n">
        <f aca="false">0</f>
        <v>0</v>
      </c>
      <c r="Y144" s="71" t="n">
        <f aca="false">0</f>
        <v>0</v>
      </c>
      <c r="Z144" s="71" t="n">
        <f aca="false">0</f>
        <v>0</v>
      </c>
      <c r="AA144" s="71" t="n">
        <f aca="false">0</f>
        <v>0</v>
      </c>
      <c r="AB144" s="71" t="n">
        <f aca="false">0</f>
        <v>0</v>
      </c>
    </row>
    <row r="145" customFormat="false" ht="15" hidden="false" customHeight="false" outlineLevel="0" collapsed="false">
      <c r="A145" s="28" t="s">
        <v>701</v>
      </c>
      <c r="B145" s="58" t="s">
        <v>51</v>
      </c>
      <c r="C145" s="59" t="n">
        <f aca="false">SUM(E145:P145)</f>
        <v>13797.9093</v>
      </c>
      <c r="D145" s="59" t="n">
        <f aca="false">SUM(Q145:AB145)</f>
        <v>0</v>
      </c>
      <c r="E145" s="60" t="n">
        <f aca="false">Projects!E132</f>
        <v>0</v>
      </c>
      <c r="F145" s="60" t="n">
        <f aca="false">Projects!F132</f>
        <v>0</v>
      </c>
      <c r="G145" s="60" t="n">
        <f aca="false">Projects!G132</f>
        <v>0</v>
      </c>
      <c r="H145" s="60" t="n">
        <f aca="false">Projects!H132</f>
        <v>0</v>
      </c>
      <c r="I145" s="60" t="n">
        <f aca="false">Projects!I132</f>
        <v>0</v>
      </c>
      <c r="J145" s="60" t="n">
        <f aca="false">Projects!J132</f>
        <v>0</v>
      </c>
      <c r="K145" s="60" t="n">
        <f aca="false">Projects!K132</f>
        <v>4147.7625</v>
      </c>
      <c r="L145" s="60" t="n">
        <f aca="false">Projects!L132</f>
        <v>5513.3484</v>
      </c>
      <c r="M145" s="60" t="n">
        <f aca="false">Projects!M132</f>
        <v>1991.79182222222</v>
      </c>
      <c r="N145" s="60" t="n">
        <f aca="false">Projects!N132</f>
        <v>1532.14755555555</v>
      </c>
      <c r="O145" s="60" t="n">
        <f aca="false">Projects!O132</f>
        <v>612.859022222223</v>
      </c>
      <c r="P145" s="60" t="n">
        <f aca="false">Projects!P132</f>
        <v>0</v>
      </c>
      <c r="Q145" s="60" t="n">
        <f aca="false">Projects!Q132</f>
        <v>0</v>
      </c>
      <c r="R145" s="60" t="n">
        <f aca="false">Projects!R132</f>
        <v>0</v>
      </c>
      <c r="S145" s="60" t="n">
        <f aca="false">Projects!S132</f>
        <v>0</v>
      </c>
      <c r="T145" s="60" t="n">
        <f aca="false">Projects!T132</f>
        <v>0</v>
      </c>
      <c r="U145" s="60" t="n">
        <f aca="false">Projects!U132</f>
        <v>0</v>
      </c>
      <c r="V145" s="60" t="n">
        <f aca="false">Projects!V132</f>
        <v>0</v>
      </c>
      <c r="W145" s="60" t="n">
        <f aca="false">Projects!W132</f>
        <v>0</v>
      </c>
      <c r="X145" s="60" t="n">
        <f aca="false">Projects!X132</f>
        <v>0</v>
      </c>
      <c r="Y145" s="60" t="n">
        <f aca="false">Projects!Y132</f>
        <v>0</v>
      </c>
      <c r="Z145" s="60" t="n">
        <f aca="false">Projects!Z132</f>
        <v>0</v>
      </c>
      <c r="AA145" s="60" t="n">
        <f aca="false">Projects!AA132</f>
        <v>0</v>
      </c>
      <c r="AB145" s="60" t="n">
        <f aca="false">Projects!AB132</f>
        <v>0</v>
      </c>
    </row>
    <row r="146" customFormat="false" ht="15" hidden="false" customHeight="false" outlineLevel="0" collapsed="false">
      <c r="A146" s="68" t="s">
        <v>702</v>
      </c>
      <c r="B146" s="69"/>
      <c r="C146" s="70" t="n">
        <f aca="false">SUM(E146:P146)</f>
        <v>69797.9093</v>
      </c>
      <c r="D146" s="70" t="n">
        <f aca="false">SUM(Q146:AB146)</f>
        <v>0</v>
      </c>
      <c r="E146" s="70" t="n">
        <f aca="false">SUM(E141:E145)</f>
        <v>0</v>
      </c>
      <c r="F146" s="70" t="n">
        <f aca="false">SUM(F141:F145)</f>
        <v>0</v>
      </c>
      <c r="G146" s="70" t="n">
        <f aca="false">SUM(G141:G145)</f>
        <v>0</v>
      </c>
      <c r="H146" s="70" t="n">
        <f aca="false">SUM(H141:H145)</f>
        <v>0</v>
      </c>
      <c r="I146" s="70" t="n">
        <f aca="false">SUM(I141:I145)</f>
        <v>0</v>
      </c>
      <c r="J146" s="70" t="n">
        <f aca="false">SUM(J141:J145)</f>
        <v>4220</v>
      </c>
      <c r="K146" s="70" t="n">
        <f aca="false">SUM(K141:K145)</f>
        <v>14507.7625</v>
      </c>
      <c r="L146" s="70" t="n">
        <f aca="false">SUM(L141:L145)</f>
        <v>18473.3484</v>
      </c>
      <c r="M146" s="70" t="n">
        <f aca="false">SUM(M141:M145)</f>
        <v>15694.7547851852</v>
      </c>
      <c r="N146" s="70" t="n">
        <f aca="false">SUM(N141:N145)</f>
        <v>12072.8882962963</v>
      </c>
      <c r="O146" s="70" t="n">
        <f aca="false">SUM(O141:O145)</f>
        <v>4829.15531851852</v>
      </c>
      <c r="P146" s="70" t="n">
        <f aca="false">SUM(P141:P145)</f>
        <v>0</v>
      </c>
      <c r="Q146" s="70" t="n">
        <f aca="false">SUM(Q141:Q145)</f>
        <v>0</v>
      </c>
      <c r="R146" s="70" t="n">
        <f aca="false">SUM(R141:R145)</f>
        <v>0</v>
      </c>
      <c r="S146" s="70" t="n">
        <f aca="false">SUM(S141:S145)</f>
        <v>0</v>
      </c>
      <c r="T146" s="70" t="n">
        <f aca="false">SUM(T141:T145)</f>
        <v>0</v>
      </c>
      <c r="U146" s="70" t="n">
        <f aca="false">SUM(U141:U145)</f>
        <v>0</v>
      </c>
      <c r="V146" s="70" t="n">
        <f aca="false">SUM(V141:V145)</f>
        <v>0</v>
      </c>
      <c r="W146" s="70" t="n">
        <f aca="false">SUM(W141:W145)</f>
        <v>0</v>
      </c>
      <c r="X146" s="70" t="n">
        <f aca="false">SUM(X141:X145)</f>
        <v>0</v>
      </c>
      <c r="Y146" s="70" t="n">
        <f aca="false">SUM(Y141:Y145)</f>
        <v>0</v>
      </c>
      <c r="Z146" s="70" t="n">
        <f aca="false">SUM(Z141:Z145)</f>
        <v>0</v>
      </c>
      <c r="AA146" s="70" t="n">
        <f aca="false">SUM(AA141:AA145)</f>
        <v>0</v>
      </c>
      <c r="AB146" s="70" t="n">
        <f aca="false">SUM(AB141:AB145)</f>
        <v>0</v>
      </c>
    </row>
    <row r="147" customFormat="false" ht="15" hidden="false" customHeight="false" outlineLevel="0" collapsed="false">
      <c r="A147" s="28" t="s">
        <v>703</v>
      </c>
      <c r="B147" s="58"/>
      <c r="C147" s="59" t="n">
        <f aca="false">SUM(E147:P147)</f>
        <v>81412.752965769</v>
      </c>
      <c r="D147" s="59" t="n">
        <f aca="false">SUM(Q147:AB147)</f>
        <v>0</v>
      </c>
      <c r="E147" s="60" t="n">
        <f aca="false">E146/FX!E9</f>
        <v>0</v>
      </c>
      <c r="F147" s="60" t="n">
        <f aca="false">F146/FX!F9</f>
        <v>0</v>
      </c>
      <c r="G147" s="60" t="n">
        <f aca="false">G146/FX!G9</f>
        <v>0</v>
      </c>
      <c r="H147" s="60" t="n">
        <f aca="false">H146/FX!H9</f>
        <v>0</v>
      </c>
      <c r="I147" s="60" t="n">
        <f aca="false">I146/FX!I9</f>
        <v>0</v>
      </c>
      <c r="J147" s="60" t="n">
        <f aca="false">J146/FX!J9</f>
        <v>4881.43435511857</v>
      </c>
      <c r="K147" s="60" t="n">
        <f aca="false">K146/FX!K9</f>
        <v>16894.0465793304</v>
      </c>
      <c r="L147" s="60" t="n">
        <f aca="false">L146/FX!L9</f>
        <v>21578.2415811052</v>
      </c>
      <c r="M147" s="60" t="n">
        <f aca="false">M146/FX!M9</f>
        <v>18324.7183649183</v>
      </c>
      <c r="N147" s="60" t="n">
        <f aca="false">N146/FX!N9</f>
        <v>14095.9372037833</v>
      </c>
      <c r="O147" s="60" t="n">
        <f aca="false">O146/FX!O9</f>
        <v>5638.3748815133</v>
      </c>
      <c r="P147" s="60" t="n">
        <f aca="false">P146/FX!P9</f>
        <v>0</v>
      </c>
      <c r="Q147" s="60" t="n">
        <f aca="false">Q146/FX!Q9</f>
        <v>0</v>
      </c>
      <c r="R147" s="60" t="n">
        <f aca="false">R146/FX!R9</f>
        <v>0</v>
      </c>
      <c r="S147" s="60" t="n">
        <f aca="false">S146/FX!S9</f>
        <v>0</v>
      </c>
      <c r="T147" s="60" t="n">
        <f aca="false">T146/FX!T9</f>
        <v>0</v>
      </c>
      <c r="U147" s="60" t="n">
        <f aca="false">U146/FX!U9</f>
        <v>0</v>
      </c>
      <c r="V147" s="60" t="n">
        <f aca="false">V146/FX!V9</f>
        <v>0</v>
      </c>
      <c r="W147" s="60" t="n">
        <f aca="false">W146/FX!W9</f>
        <v>0</v>
      </c>
      <c r="X147" s="60" t="n">
        <f aca="false">X146/FX!X9</f>
        <v>0</v>
      </c>
      <c r="Y147" s="60" t="n">
        <f aca="false">Y146/FX!Y9</f>
        <v>0</v>
      </c>
      <c r="Z147" s="60" t="n">
        <f aca="false">Z146/FX!Z9</f>
        <v>0</v>
      </c>
      <c r="AA147" s="60" t="n">
        <f aca="false">AA146/FX!AA9</f>
        <v>0</v>
      </c>
      <c r="AB147" s="60" t="n">
        <f aca="false">AB146/FX!AB9</f>
        <v>0</v>
      </c>
    </row>
    <row r="148" customFormat="false" ht="15" hidden="false" customHeight="false" outlineLevel="0" collapsed="false">
      <c r="A148" s="28" t="s">
        <v>704</v>
      </c>
      <c r="B148" s="58" t="s">
        <v>51</v>
      </c>
      <c r="C148" s="59" t="n">
        <f aca="false">SUM(E148:P148)</f>
        <v>14000</v>
      </c>
      <c r="D148" s="59" t="n">
        <f aca="false">SUM(Q148:AB148)</f>
        <v>0</v>
      </c>
      <c r="E148" s="60" t="n">
        <f aca="false">Projects!E131</f>
        <v>0</v>
      </c>
      <c r="F148" s="60" t="n">
        <f aca="false">Projects!F131</f>
        <v>0</v>
      </c>
      <c r="G148" s="60" t="n">
        <f aca="false">Projects!G131</f>
        <v>0</v>
      </c>
      <c r="H148" s="60" t="n">
        <f aca="false">Projects!H131</f>
        <v>0</v>
      </c>
      <c r="I148" s="60" t="n">
        <f aca="false">Projects!I131</f>
        <v>0</v>
      </c>
      <c r="J148" s="60" t="n">
        <f aca="false">Projects!J131</f>
        <v>0</v>
      </c>
      <c r="K148" s="60" t="n">
        <f aca="false">Projects!K131</f>
        <v>4200</v>
      </c>
      <c r="L148" s="60" t="n">
        <f aca="false">Projects!L131</f>
        <v>5600</v>
      </c>
      <c r="M148" s="60" t="n">
        <f aca="false">Projects!M131</f>
        <v>2022.22222222222</v>
      </c>
      <c r="N148" s="60" t="n">
        <f aca="false">Projects!N131</f>
        <v>1555.55555555555</v>
      </c>
      <c r="O148" s="60" t="n">
        <f aca="false">Projects!O131</f>
        <v>622.222222222223</v>
      </c>
      <c r="P148" s="60" t="n">
        <f aca="false">Projects!P131</f>
        <v>0</v>
      </c>
      <c r="Q148" s="60" t="n">
        <f aca="false">Projects!Q131</f>
        <v>0</v>
      </c>
      <c r="R148" s="60" t="n">
        <f aca="false">Projects!R131</f>
        <v>0</v>
      </c>
      <c r="S148" s="60" t="n">
        <f aca="false">Projects!S131</f>
        <v>0</v>
      </c>
      <c r="T148" s="60" t="n">
        <f aca="false">Projects!T131</f>
        <v>0</v>
      </c>
      <c r="U148" s="60" t="n">
        <f aca="false">Projects!U131</f>
        <v>0</v>
      </c>
      <c r="V148" s="60" t="n">
        <f aca="false">Projects!V131</f>
        <v>0</v>
      </c>
      <c r="W148" s="60" t="n">
        <f aca="false">Projects!W131</f>
        <v>0</v>
      </c>
      <c r="X148" s="60" t="n">
        <f aca="false">Projects!X131</f>
        <v>0</v>
      </c>
      <c r="Y148" s="60" t="n">
        <f aca="false">Projects!Y131</f>
        <v>0</v>
      </c>
      <c r="Z148" s="60" t="n">
        <f aca="false">Projects!Z131</f>
        <v>0</v>
      </c>
      <c r="AA148" s="60" t="n">
        <f aca="false">Projects!AA131</f>
        <v>0</v>
      </c>
      <c r="AB148" s="60" t="n">
        <f aca="false">Projects!AB131</f>
        <v>0</v>
      </c>
    </row>
    <row r="149" customFormat="false" ht="15" hidden="false" customHeight="false" outlineLevel="0" collapsed="false">
      <c r="A149" s="68" t="s">
        <v>705</v>
      </c>
      <c r="B149" s="69" t="s">
        <v>706</v>
      </c>
      <c r="C149" s="70" t="n">
        <f aca="false">SUM(E149:P149)</f>
        <v>67412.752965769</v>
      </c>
      <c r="D149" s="70" t="n">
        <f aca="false">SUM(Q149:AB149)</f>
        <v>0</v>
      </c>
      <c r="E149" s="70" t="n">
        <f aca="false">E147-E148</f>
        <v>0</v>
      </c>
      <c r="F149" s="70" t="n">
        <f aca="false">F147-F148</f>
        <v>0</v>
      </c>
      <c r="G149" s="70" t="n">
        <f aca="false">G147-G148</f>
        <v>0</v>
      </c>
      <c r="H149" s="70" t="n">
        <f aca="false">H147-H148</f>
        <v>0</v>
      </c>
      <c r="I149" s="70" t="n">
        <f aca="false">I147-I148</f>
        <v>0</v>
      </c>
      <c r="J149" s="70" t="n">
        <f aca="false">J147-J148</f>
        <v>4881.43435511857</v>
      </c>
      <c r="K149" s="70" t="n">
        <f aca="false">K147-K148</f>
        <v>12694.0465793304</v>
      </c>
      <c r="L149" s="70" t="n">
        <f aca="false">L147-L148</f>
        <v>15978.2415811052</v>
      </c>
      <c r="M149" s="70" t="n">
        <f aca="false">M147-M148</f>
        <v>16302.496142696</v>
      </c>
      <c r="N149" s="70" t="n">
        <f aca="false">N147-N148</f>
        <v>12540.3816482277</v>
      </c>
      <c r="O149" s="70" t="n">
        <f aca="false">O147-O148</f>
        <v>5016.15265929108</v>
      </c>
      <c r="P149" s="70" t="n">
        <f aca="false">P147-P148</f>
        <v>0</v>
      </c>
      <c r="Q149" s="70" t="n">
        <f aca="false">Q147-Q148</f>
        <v>0</v>
      </c>
      <c r="R149" s="70" t="n">
        <f aca="false">R147-R148</f>
        <v>0</v>
      </c>
      <c r="S149" s="70" t="n">
        <f aca="false">S147-S148</f>
        <v>0</v>
      </c>
      <c r="T149" s="70" t="n">
        <f aca="false">T147-T148</f>
        <v>0</v>
      </c>
      <c r="U149" s="70" t="n">
        <f aca="false">U147-U148</f>
        <v>0</v>
      </c>
      <c r="V149" s="70" t="n">
        <f aca="false">V147-V148</f>
        <v>0</v>
      </c>
      <c r="W149" s="70" t="n">
        <f aca="false">W147-W148</f>
        <v>0</v>
      </c>
      <c r="X149" s="70" t="n">
        <f aca="false">X147-X148</f>
        <v>0</v>
      </c>
      <c r="Y149" s="70" t="n">
        <f aca="false">Y147-Y148</f>
        <v>0</v>
      </c>
      <c r="Z149" s="70" t="n">
        <f aca="false">Z147-Z148</f>
        <v>0</v>
      </c>
      <c r="AA149" s="70" t="n">
        <f aca="false">AA147-AA148</f>
        <v>0</v>
      </c>
      <c r="AB149" s="70" t="n">
        <f aca="false">AB147-AB148</f>
        <v>0</v>
      </c>
    </row>
    <row r="150" customFormat="false" ht="15" hidden="false" customHeight="false" outlineLevel="0" collapsed="false">
      <c r="A150" s="28" t="s">
        <v>707</v>
      </c>
      <c r="B150" s="58" t="s">
        <v>708</v>
      </c>
      <c r="C150" s="66" t="n">
        <f aca="false">SUM(E150:P150)</f>
        <v>560</v>
      </c>
      <c r="D150" s="66" t="n">
        <f aca="false">SUM(Q150:AB150)</f>
        <v>0</v>
      </c>
      <c r="E150" s="67" t="n">
        <f aca="false">Projects!E120</f>
        <v>0</v>
      </c>
      <c r="F150" s="67" t="n">
        <f aca="false">Projects!F120</f>
        <v>0</v>
      </c>
      <c r="G150" s="67" t="n">
        <f aca="false">Projects!G120</f>
        <v>0</v>
      </c>
      <c r="H150" s="67" t="n">
        <f aca="false">Projects!H120</f>
        <v>0</v>
      </c>
      <c r="I150" s="67" t="n">
        <f aca="false">Projects!I120</f>
        <v>0</v>
      </c>
      <c r="J150" s="67" t="n">
        <f aca="false">Projects!J120</f>
        <v>42.2</v>
      </c>
      <c r="K150" s="67" t="n">
        <f aca="false">Projects!K120</f>
        <v>103.6</v>
      </c>
      <c r="L150" s="67" t="n">
        <f aca="false">Projects!L120</f>
        <v>129.6</v>
      </c>
      <c r="M150" s="67" t="n">
        <f aca="false">Projects!M120</f>
        <v>137.02962962963</v>
      </c>
      <c r="N150" s="67" t="n">
        <f aca="false">Projects!N120</f>
        <v>105.407407407407</v>
      </c>
      <c r="O150" s="67" t="n">
        <f aca="false">Projects!O120</f>
        <v>42.162962962963</v>
      </c>
      <c r="P150" s="67" t="n">
        <f aca="false">Projects!P120</f>
        <v>0</v>
      </c>
      <c r="Q150" s="67" t="n">
        <f aca="false">Projects!Q120</f>
        <v>0</v>
      </c>
      <c r="R150" s="67" t="n">
        <f aca="false">Projects!R120</f>
        <v>0</v>
      </c>
      <c r="S150" s="67" t="n">
        <f aca="false">Projects!S120</f>
        <v>0</v>
      </c>
      <c r="T150" s="67" t="n">
        <f aca="false">Projects!T120</f>
        <v>0</v>
      </c>
      <c r="U150" s="67" t="n">
        <f aca="false">Projects!U120</f>
        <v>0</v>
      </c>
      <c r="V150" s="67" t="n">
        <f aca="false">Projects!V120</f>
        <v>0</v>
      </c>
      <c r="W150" s="67" t="n">
        <f aca="false">Projects!W120</f>
        <v>0</v>
      </c>
      <c r="X150" s="67" t="n">
        <f aca="false">Projects!X120</f>
        <v>0</v>
      </c>
      <c r="Y150" s="67" t="n">
        <f aca="false">Projects!Y120</f>
        <v>0</v>
      </c>
      <c r="Z150" s="67" t="n">
        <f aca="false">Projects!Z120</f>
        <v>0</v>
      </c>
      <c r="AA150" s="67" t="n">
        <f aca="false">Projects!AA120</f>
        <v>0</v>
      </c>
      <c r="AB150" s="67" t="n">
        <f aca="false">Projects!AB120</f>
        <v>0</v>
      </c>
    </row>
    <row r="151" customFormat="false" ht="15" hidden="false" customHeight="false" outlineLevel="0" collapsed="false">
      <c r="A151" s="28" t="s">
        <v>709</v>
      </c>
      <c r="B151" s="58" t="s">
        <v>710</v>
      </c>
      <c r="C151" s="59" t="n">
        <f aca="false">SUM(E151:P151)</f>
        <v>29633.2048791715</v>
      </c>
      <c r="D151" s="59" t="n">
        <f aca="false">SUM(Q151:AB151)</f>
        <v>0</v>
      </c>
      <c r="E151" s="60" t="n">
        <f aca="false">Projects!E120*Utilisation!E91</f>
        <v>0</v>
      </c>
      <c r="F151" s="60" t="n">
        <f aca="false">Projects!F120*Utilisation!F91</f>
        <v>0</v>
      </c>
      <c r="G151" s="60" t="n">
        <f aca="false">Projects!G120*Utilisation!G91</f>
        <v>0</v>
      </c>
      <c r="H151" s="60" t="n">
        <f aca="false">Projects!H120*Utilisation!H91</f>
        <v>0</v>
      </c>
      <c r="I151" s="60" t="n">
        <f aca="false">Projects!I120*Utilisation!I91</f>
        <v>0</v>
      </c>
      <c r="J151" s="60" t="n">
        <f aca="false">Projects!J120*Utilisation!J91</f>
        <v>2233.07365339471</v>
      </c>
      <c r="K151" s="60" t="n">
        <f aca="false">Projects!K120*Utilisation!K91</f>
        <v>5482.14290264672</v>
      </c>
      <c r="L151" s="60" t="n">
        <f aca="false">Projects!L120*Utilisation!L91</f>
        <v>6857.97027203683</v>
      </c>
      <c r="M151" s="60" t="n">
        <f aca="false">Projects!M120*Utilisation!M91</f>
        <v>7251.11980237822</v>
      </c>
      <c r="N151" s="60" t="n">
        <f aca="false">Projects!N120*Utilisation!N91</f>
        <v>5577.78446336785</v>
      </c>
      <c r="O151" s="60" t="n">
        <f aca="false">Projects!O120*Utilisation!O91</f>
        <v>2231.11378534715</v>
      </c>
      <c r="P151" s="60" t="n">
        <f aca="false">Projects!P120*Utilisation!P91</f>
        <v>0</v>
      </c>
      <c r="Q151" s="60" t="n">
        <f aca="false">Projects!Q120*Utilisation!Q91</f>
        <v>0</v>
      </c>
      <c r="R151" s="60" t="n">
        <f aca="false">Projects!R120*Utilisation!R91</f>
        <v>0</v>
      </c>
      <c r="S151" s="60" t="n">
        <f aca="false">Projects!S120*Utilisation!S91</f>
        <v>0</v>
      </c>
      <c r="T151" s="60" t="n">
        <f aca="false">Projects!T120*Utilisation!T91</f>
        <v>0</v>
      </c>
      <c r="U151" s="60" t="n">
        <f aca="false">Projects!U120*Utilisation!U91</f>
        <v>0</v>
      </c>
      <c r="V151" s="60" t="n">
        <f aca="false">Projects!V120*Utilisation!V91</f>
        <v>0</v>
      </c>
      <c r="W151" s="60" t="n">
        <f aca="false">Projects!W120*Utilisation!W91</f>
        <v>0</v>
      </c>
      <c r="X151" s="60" t="n">
        <f aca="false">Projects!X120*Utilisation!X91</f>
        <v>0</v>
      </c>
      <c r="Y151" s="60" t="n">
        <f aca="false">Projects!Y120*Utilisation!Y91</f>
        <v>0</v>
      </c>
      <c r="Z151" s="60" t="n">
        <f aca="false">Projects!Z120*Utilisation!Z91</f>
        <v>0</v>
      </c>
      <c r="AA151" s="60" t="n">
        <f aca="false">Projects!AA120*Utilisation!AA91</f>
        <v>0</v>
      </c>
      <c r="AB151" s="60" t="n">
        <f aca="false">Projects!AB120*Utilisation!AB91</f>
        <v>0</v>
      </c>
    </row>
    <row r="152" customFormat="false" ht="15" hidden="false" customHeight="false" outlineLevel="0" collapsed="false">
      <c r="A152" s="28" t="s">
        <v>711</v>
      </c>
      <c r="B152" s="58" t="s">
        <v>53</v>
      </c>
      <c r="C152" s="59" t="n">
        <f aca="false">SUM(E152:P152)</f>
        <v>0</v>
      </c>
      <c r="D152" s="59" t="n">
        <f aca="false">SUM(Q152:AB152)</f>
        <v>0</v>
      </c>
      <c r="E152" s="71" t="n">
        <f aca="false">0</f>
        <v>0</v>
      </c>
      <c r="F152" s="71" t="n">
        <f aca="false">0</f>
        <v>0</v>
      </c>
      <c r="G152" s="71" t="n">
        <f aca="false">0</f>
        <v>0</v>
      </c>
      <c r="H152" s="71" t="n">
        <f aca="false">0</f>
        <v>0</v>
      </c>
      <c r="I152" s="71" t="n">
        <f aca="false">0</f>
        <v>0</v>
      </c>
      <c r="J152" s="71" t="n">
        <f aca="false">0</f>
        <v>0</v>
      </c>
      <c r="K152" s="71" t="n">
        <f aca="false">0</f>
        <v>0</v>
      </c>
      <c r="L152" s="71" t="n">
        <f aca="false">0</f>
        <v>0</v>
      </c>
      <c r="M152" s="71" t="n">
        <f aca="false">0</f>
        <v>0</v>
      </c>
      <c r="N152" s="71" t="n">
        <f aca="false">0</f>
        <v>0</v>
      </c>
      <c r="O152" s="71" t="n">
        <f aca="false">0</f>
        <v>0</v>
      </c>
      <c r="P152" s="71" t="n">
        <f aca="false">0</f>
        <v>0</v>
      </c>
      <c r="Q152" s="71" t="n">
        <f aca="false">0</f>
        <v>0</v>
      </c>
      <c r="R152" s="71" t="n">
        <f aca="false">0</f>
        <v>0</v>
      </c>
      <c r="S152" s="71" t="n">
        <f aca="false">0</f>
        <v>0</v>
      </c>
      <c r="T152" s="71" t="n">
        <f aca="false">0</f>
        <v>0</v>
      </c>
      <c r="U152" s="71" t="n">
        <f aca="false">0</f>
        <v>0</v>
      </c>
      <c r="V152" s="71" t="n">
        <f aca="false">0</f>
        <v>0</v>
      </c>
      <c r="W152" s="71" t="n">
        <f aca="false">0</f>
        <v>0</v>
      </c>
      <c r="X152" s="71" t="n">
        <f aca="false">0</f>
        <v>0</v>
      </c>
      <c r="Y152" s="71" t="n">
        <f aca="false">0</f>
        <v>0</v>
      </c>
      <c r="Z152" s="71" t="n">
        <f aca="false">0</f>
        <v>0</v>
      </c>
      <c r="AA152" s="71" t="n">
        <f aca="false">0</f>
        <v>0</v>
      </c>
      <c r="AB152" s="71" t="n">
        <f aca="false">0</f>
        <v>0</v>
      </c>
    </row>
    <row r="153" customFormat="false" ht="15" hidden="false" customHeight="false" outlineLevel="0" collapsed="false">
      <c r="A153" s="28" t="s">
        <v>712</v>
      </c>
      <c r="B153" s="58" t="s">
        <v>713</v>
      </c>
      <c r="C153" s="59" t="n">
        <f aca="false">SUM(E153:P153)</f>
        <v>69797.9093</v>
      </c>
      <c r="D153" s="59" t="n">
        <f aca="false">SUM(Q153:AB153)</f>
        <v>0</v>
      </c>
      <c r="E153" s="60" t="n">
        <f aca="false">Projects!E128+E144+E152+E145</f>
        <v>0</v>
      </c>
      <c r="F153" s="60" t="n">
        <f aca="false">Projects!F128+F144+F152+F145</f>
        <v>0</v>
      </c>
      <c r="G153" s="60" t="n">
        <f aca="false">Projects!G128+G144+G152+G145</f>
        <v>0</v>
      </c>
      <c r="H153" s="60" t="n">
        <f aca="false">Projects!H128+H144+H152+H145</f>
        <v>0</v>
      </c>
      <c r="I153" s="60" t="n">
        <f aca="false">Projects!I128+I144+I152+I145</f>
        <v>0</v>
      </c>
      <c r="J153" s="60" t="n">
        <f aca="false">Projects!J128+J144+J152+J145</f>
        <v>16800</v>
      </c>
      <c r="K153" s="60" t="n">
        <f aca="false">Projects!K128+K144+K152+K145</f>
        <v>4147.7625</v>
      </c>
      <c r="L153" s="60" t="n">
        <f aca="false">Projects!L128+L144+L152+L145</f>
        <v>5513.3484</v>
      </c>
      <c r="M153" s="60" t="n">
        <f aca="false">Projects!M128+M144+M152+M145</f>
        <v>24391.7918222222</v>
      </c>
      <c r="N153" s="60" t="n">
        <f aca="false">Projects!N128+N144+N152+N145</f>
        <v>1532.14755555555</v>
      </c>
      <c r="O153" s="60" t="n">
        <f aca="false">Projects!O128+O144+O152+O145</f>
        <v>17412.8590222222</v>
      </c>
      <c r="P153" s="60" t="n">
        <f aca="false">Projects!P128+P144+P152+P145</f>
        <v>0</v>
      </c>
      <c r="Q153" s="60" t="n">
        <f aca="false">Projects!Q128+Q144+Q152+Q145</f>
        <v>0</v>
      </c>
      <c r="R153" s="60" t="n">
        <f aca="false">Projects!R128+R144+R152+R145</f>
        <v>0</v>
      </c>
      <c r="S153" s="60" t="n">
        <f aca="false">Projects!S128+S144+S152+S145</f>
        <v>0</v>
      </c>
      <c r="T153" s="60" t="n">
        <f aca="false">Projects!T128+T144+T152+T145</f>
        <v>0</v>
      </c>
      <c r="U153" s="60" t="n">
        <f aca="false">Projects!U128+U144+U152+U145</f>
        <v>0</v>
      </c>
      <c r="V153" s="60" t="n">
        <f aca="false">Projects!V128+V144+V152+V145</f>
        <v>0</v>
      </c>
      <c r="W153" s="60" t="n">
        <f aca="false">Projects!W128+W144+W152+W145</f>
        <v>0</v>
      </c>
      <c r="X153" s="60" t="n">
        <f aca="false">Projects!X128+X144+X152+X145</f>
        <v>0</v>
      </c>
      <c r="Y153" s="60" t="n">
        <f aca="false">Projects!Y128+Y144+Y152+Y145</f>
        <v>0</v>
      </c>
      <c r="Z153" s="60" t="n">
        <f aca="false">Projects!Z128+Z144+Z152+Z145</f>
        <v>0</v>
      </c>
      <c r="AA153" s="60" t="n">
        <f aca="false">Projects!AA128+AA144+AA152+AA145</f>
        <v>0</v>
      </c>
      <c r="AB153" s="60" t="n">
        <f aca="false">Projects!AB128+AB144+AB152+AB145</f>
        <v>0</v>
      </c>
    </row>
    <row r="154" customFormat="false" ht="15" hidden="false" customHeight="false" outlineLevel="0" collapsed="false">
      <c r="A154" s="28" t="s">
        <v>714</v>
      </c>
      <c r="B154" s="58" t="s">
        <v>715</v>
      </c>
      <c r="C154" s="59" t="n">
        <f aca="false">SUM(E154:P154)</f>
        <v>0</v>
      </c>
      <c r="D154" s="59" t="n">
        <f aca="false">SUM(Q154:AB154)</f>
        <v>0</v>
      </c>
      <c r="E154" s="60" t="n">
        <f aca="false">E153*Client_Register!$F$13</f>
        <v>0</v>
      </c>
      <c r="F154" s="60" t="n">
        <f aca="false">F153*Client_Register!$F$13</f>
        <v>0</v>
      </c>
      <c r="G154" s="60" t="n">
        <f aca="false">G153*Client_Register!$F$13</f>
        <v>0</v>
      </c>
      <c r="H154" s="60" t="n">
        <f aca="false">H153*Client_Register!$F$13</f>
        <v>0</v>
      </c>
      <c r="I154" s="60" t="n">
        <f aca="false">I153*Client_Register!$F$13</f>
        <v>0</v>
      </c>
      <c r="J154" s="60" t="n">
        <f aca="false">J153*Client_Register!$F$13</f>
        <v>0</v>
      </c>
      <c r="K154" s="60" t="n">
        <f aca="false">K153*Client_Register!$F$13</f>
        <v>0</v>
      </c>
      <c r="L154" s="60" t="n">
        <f aca="false">L153*Client_Register!$F$13</f>
        <v>0</v>
      </c>
      <c r="M154" s="60" t="n">
        <f aca="false">M153*Client_Register!$F$13</f>
        <v>0</v>
      </c>
      <c r="N154" s="60" t="n">
        <f aca="false">N153*Client_Register!$F$13</f>
        <v>0</v>
      </c>
      <c r="O154" s="60" t="n">
        <f aca="false">O153*Client_Register!$F$13</f>
        <v>0</v>
      </c>
      <c r="P154" s="60" t="n">
        <f aca="false">P153*Client_Register!$F$13</f>
        <v>0</v>
      </c>
      <c r="Q154" s="60" t="n">
        <f aca="false">Q153*Client_Register!$F$13</f>
        <v>0</v>
      </c>
      <c r="R154" s="60" t="n">
        <f aca="false">R153*Client_Register!$F$13</f>
        <v>0</v>
      </c>
      <c r="S154" s="60" t="n">
        <f aca="false">S153*Client_Register!$F$13</f>
        <v>0</v>
      </c>
      <c r="T154" s="60" t="n">
        <f aca="false">T153*Client_Register!$F$13</f>
        <v>0</v>
      </c>
      <c r="U154" s="60" t="n">
        <f aca="false">U153*Client_Register!$F$13</f>
        <v>0</v>
      </c>
      <c r="V154" s="60" t="n">
        <f aca="false">V153*Client_Register!$F$13</f>
        <v>0</v>
      </c>
      <c r="W154" s="60" t="n">
        <f aca="false">W153*Client_Register!$F$13</f>
        <v>0</v>
      </c>
      <c r="X154" s="60" t="n">
        <f aca="false">X153*Client_Register!$F$13</f>
        <v>0</v>
      </c>
      <c r="Y154" s="60" t="n">
        <f aca="false">Y153*Client_Register!$F$13</f>
        <v>0</v>
      </c>
      <c r="Z154" s="60" t="n">
        <f aca="false">Z153*Client_Register!$F$13</f>
        <v>0</v>
      </c>
      <c r="AA154" s="60" t="n">
        <f aca="false">AA153*Client_Register!$F$13</f>
        <v>0</v>
      </c>
      <c r="AB154" s="60" t="n">
        <f aca="false">AB153*Client_Register!$F$13</f>
        <v>0</v>
      </c>
    </row>
    <row r="155" customFormat="false" ht="15" hidden="false" customHeight="false" outlineLevel="0" collapsed="false">
      <c r="A155" s="68" t="s">
        <v>716</v>
      </c>
      <c r="B155" s="69"/>
      <c r="C155" s="70" t="n">
        <f aca="false">SUM(E155:P155)</f>
        <v>69797.9093</v>
      </c>
      <c r="D155" s="70" t="n">
        <f aca="false">SUM(Q155:AB155)</f>
        <v>0</v>
      </c>
      <c r="E155" s="70" t="n">
        <f aca="false">E153+E154</f>
        <v>0</v>
      </c>
      <c r="F155" s="70" t="n">
        <f aca="false">F153+F154</f>
        <v>0</v>
      </c>
      <c r="G155" s="70" t="n">
        <f aca="false">G153+G154</f>
        <v>0</v>
      </c>
      <c r="H155" s="70" t="n">
        <f aca="false">H153+H154</f>
        <v>0</v>
      </c>
      <c r="I155" s="70" t="n">
        <f aca="false">I153+I154</f>
        <v>0</v>
      </c>
      <c r="J155" s="70" t="n">
        <f aca="false">J153+J154</f>
        <v>16800</v>
      </c>
      <c r="K155" s="70" t="n">
        <f aca="false">K153+K154</f>
        <v>4147.7625</v>
      </c>
      <c r="L155" s="70" t="n">
        <f aca="false">L153+L154</f>
        <v>5513.3484</v>
      </c>
      <c r="M155" s="70" t="n">
        <f aca="false">M153+M154</f>
        <v>24391.7918222222</v>
      </c>
      <c r="N155" s="70" t="n">
        <f aca="false">N153+N154</f>
        <v>1532.14755555555</v>
      </c>
      <c r="O155" s="70" t="n">
        <f aca="false">O153+O154</f>
        <v>17412.8590222222</v>
      </c>
      <c r="P155" s="70" t="n">
        <f aca="false">P153+P154</f>
        <v>0</v>
      </c>
      <c r="Q155" s="70" t="n">
        <f aca="false">Q153+Q154</f>
        <v>0</v>
      </c>
      <c r="R155" s="70" t="n">
        <f aca="false">R153+R154</f>
        <v>0</v>
      </c>
      <c r="S155" s="70" t="n">
        <f aca="false">S153+S154</f>
        <v>0</v>
      </c>
      <c r="T155" s="70" t="n">
        <f aca="false">T153+T154</f>
        <v>0</v>
      </c>
      <c r="U155" s="70" t="n">
        <f aca="false">U153+U154</f>
        <v>0</v>
      </c>
      <c r="V155" s="70" t="n">
        <f aca="false">V153+V154</f>
        <v>0</v>
      </c>
      <c r="W155" s="70" t="n">
        <f aca="false">W153+W154</f>
        <v>0</v>
      </c>
      <c r="X155" s="70" t="n">
        <f aca="false">X153+X154</f>
        <v>0</v>
      </c>
      <c r="Y155" s="70" t="n">
        <f aca="false">Y153+Y154</f>
        <v>0</v>
      </c>
      <c r="Z155" s="70" t="n">
        <f aca="false">Z153+Z154</f>
        <v>0</v>
      </c>
      <c r="AA155" s="70" t="n">
        <f aca="false">AA153+AA154</f>
        <v>0</v>
      </c>
      <c r="AB155" s="70" t="n">
        <f aca="false">AB153+AB154</f>
        <v>0</v>
      </c>
    </row>
    <row r="156" customFormat="false" ht="15" hidden="false" customHeight="false" outlineLevel="0" collapsed="false">
      <c r="A156" s="28" t="s">
        <v>717</v>
      </c>
      <c r="B156" s="58" t="s">
        <v>718</v>
      </c>
      <c r="C156" s="59" t="n">
        <f aca="false">SUM(E156:P156)</f>
        <v>69797.9093</v>
      </c>
      <c r="D156" s="59" t="n">
        <f aca="false">SUM(Q156:AB156)</f>
        <v>0</v>
      </c>
      <c r="E156" s="60" t="n">
        <f aca="false">IF(E$5="A",Inputs_Actuals!E119,Client_Register!$T$13+E155-(E155*MIN(1,Client_Register!$J$13/30)+0*MIN(1,MAX(0,(Client_Register!$J$13-30)/30))+0*MIN(1,MAX(0,(Client_Register!$J$13-60)/30))))</f>
        <v>0</v>
      </c>
      <c r="F156" s="60" t="n">
        <f aca="false">IF(F$5="A",Inputs_Actuals!F119,E157+F155-(F155*MIN(1,Client_Register!$J$13/30)+E155*MIN(1,MAX(0,(Client_Register!$J$13-30)/30))+0*MIN(1,MAX(0,(Client_Register!$J$13-60)/30))))</f>
        <v>0</v>
      </c>
      <c r="G156" s="60" t="n">
        <f aca="false">IF(G$5="A",Inputs_Actuals!G119,F157+G155-(G155*MIN(1,Client_Register!$J$13/30)+F155*MIN(1,MAX(0,(Client_Register!$J$13-30)/30))+E155*MIN(1,MAX(0,(Client_Register!$J$13-60)/30))))</f>
        <v>0</v>
      </c>
      <c r="H156" s="60" t="n">
        <f aca="false">IF(H$5="A",Inputs_Actuals!H119,G157+H155-(H155*MIN(1,Client_Register!$J$13/30)+G155*MIN(1,MAX(0,(Client_Register!$J$13-30)/30))+F155*MIN(1,MAX(0,(Client_Register!$J$13-60)/30))))</f>
        <v>0</v>
      </c>
      <c r="I156" s="60" t="n">
        <f aca="false">IF(I$5="A",Inputs_Actuals!I119,H157+I155-(I155*MIN(1,Client_Register!$J$13/30)+H155*MIN(1,MAX(0,(Client_Register!$J$13-30)/30))+G155*MIN(1,MAX(0,(Client_Register!$J$13-60)/30))))</f>
        <v>0</v>
      </c>
      <c r="J156" s="60" t="n">
        <f aca="false">IF(J$5="A",Inputs_Actuals!J119,I157+J155-(J155*MIN(1,Client_Register!$J$13/30)+I155*MIN(1,MAX(0,(Client_Register!$J$13-30)/30))+H155*MIN(1,MAX(0,(Client_Register!$J$13-60)/30))))</f>
        <v>-1898.27</v>
      </c>
      <c r="K156" s="60" t="n">
        <f aca="false">IF(K$5="A",Inputs_Actuals!K119,J157+K155-(K155*MIN(1,Client_Register!$J$13/30)+J155*MIN(1,MAX(0,(Client_Register!$J$13-30)/30))+I155*MIN(1,MAX(0,(Client_Register!$J$13-60)/30))))</f>
        <v>18401.35</v>
      </c>
      <c r="L156" s="60" t="n">
        <f aca="false">IF(L$5="A",Inputs_Actuals!L119,K157+L155-(L155*MIN(1,Client_Register!$J$13/30)+K155*MIN(1,MAX(0,(Client_Register!$J$13-30)/30))+J155*MIN(1,MAX(0,(Client_Register!$J$13-60)/30))))</f>
        <v>4729.32</v>
      </c>
      <c r="M156" s="60" t="n">
        <f aca="false">IF(M$5="A",Inputs_Actuals!M119,L157+M155-(M155*MIN(1,Client_Register!$J$13/30)+L155*MIN(1,MAX(0,(Client_Register!$J$13-30)/30))+K155*MIN(1,MAX(0,(Client_Register!$J$13-60)/30))))</f>
        <v>5228.7109</v>
      </c>
      <c r="N156" s="60" t="n">
        <f aca="false">IF(N$5="A",Inputs_Actuals!N119,M157+N155-(N155*MIN(1,Client_Register!$J$13/30)+M155*MIN(1,MAX(0,(Client_Register!$J$13-30)/30))+L155*MIN(1,MAX(0,(Client_Register!$J$13-60)/30))))</f>
        <v>24391.7918222222</v>
      </c>
      <c r="O156" s="60" t="n">
        <f aca="false">IF(O$5="A",Inputs_Actuals!O119,N157+O155-(O155*MIN(1,Client_Register!$J$13/30)+N155*MIN(1,MAX(0,(Client_Register!$J$13-30)/30))+M155*MIN(1,MAX(0,(Client_Register!$J$13-60)/30))))</f>
        <v>1532.14755555556</v>
      </c>
      <c r="P156" s="60" t="n">
        <f aca="false">IF(P$5="A",Inputs_Actuals!P119,O157+P155-(P155*MIN(1,Client_Register!$J$13/30)+O155*MIN(1,MAX(0,(Client_Register!$J$13-30)/30))+N155*MIN(1,MAX(0,(Client_Register!$J$13-60)/30))))</f>
        <v>17412.8590222222</v>
      </c>
      <c r="Q156" s="60" t="n">
        <f aca="false">IF(Q$5="A",Inputs_Actuals!Q119,P157+Q155-(Q155*MIN(1,Client_Register!$J$13/30)+P155*MIN(1,MAX(0,(Client_Register!$J$13-30)/30))+O155*MIN(1,MAX(0,(Client_Register!$J$13-60)/30))))</f>
        <v>0</v>
      </c>
      <c r="R156" s="60" t="n">
        <f aca="false">IF(R$5="A",Inputs_Actuals!R119,Q157+R155-(R155*MIN(1,Client_Register!$J$13/30)+Q155*MIN(1,MAX(0,(Client_Register!$J$13-30)/30))+P155*MIN(1,MAX(0,(Client_Register!$J$13-60)/30))))</f>
        <v>0</v>
      </c>
      <c r="S156" s="60" t="n">
        <f aca="false">IF(S$5="A",Inputs_Actuals!S119,R157+S155-(S155*MIN(1,Client_Register!$J$13/30)+R155*MIN(1,MAX(0,(Client_Register!$J$13-30)/30))+Q155*MIN(1,MAX(0,(Client_Register!$J$13-60)/30))))</f>
        <v>0</v>
      </c>
      <c r="T156" s="60" t="n">
        <f aca="false">IF(T$5="A",Inputs_Actuals!T119,S157+T155-(T155*MIN(1,Client_Register!$J$13/30)+S155*MIN(1,MAX(0,(Client_Register!$J$13-30)/30))+R155*MIN(1,MAX(0,(Client_Register!$J$13-60)/30))))</f>
        <v>0</v>
      </c>
      <c r="U156" s="60" t="n">
        <f aca="false">IF(U$5="A",Inputs_Actuals!U119,T157+U155-(U155*MIN(1,Client_Register!$J$13/30)+T155*MIN(1,MAX(0,(Client_Register!$J$13-30)/30))+S155*MIN(1,MAX(0,(Client_Register!$J$13-60)/30))))</f>
        <v>0</v>
      </c>
      <c r="V156" s="60" t="n">
        <f aca="false">IF(V$5="A",Inputs_Actuals!V119,U157+V155-(V155*MIN(1,Client_Register!$J$13/30)+U155*MIN(1,MAX(0,(Client_Register!$J$13-30)/30))+T155*MIN(1,MAX(0,(Client_Register!$J$13-60)/30))))</f>
        <v>0</v>
      </c>
      <c r="W156" s="60" t="n">
        <f aca="false">IF(W$5="A",Inputs_Actuals!W119,V157+W155-(W155*MIN(1,Client_Register!$J$13/30)+V155*MIN(1,MAX(0,(Client_Register!$J$13-30)/30))+U155*MIN(1,MAX(0,(Client_Register!$J$13-60)/30))))</f>
        <v>0</v>
      </c>
      <c r="X156" s="60" t="n">
        <f aca="false">IF(X$5="A",Inputs_Actuals!X119,W157+X155-(X155*MIN(1,Client_Register!$J$13/30)+W155*MIN(1,MAX(0,(Client_Register!$J$13-30)/30))+V155*MIN(1,MAX(0,(Client_Register!$J$13-60)/30))))</f>
        <v>0</v>
      </c>
      <c r="Y156" s="60" t="n">
        <f aca="false">IF(Y$5="A",Inputs_Actuals!Y119,X157+Y155-(Y155*MIN(1,Client_Register!$J$13/30)+X155*MIN(1,MAX(0,(Client_Register!$J$13-30)/30))+W155*MIN(1,MAX(0,(Client_Register!$J$13-60)/30))))</f>
        <v>0</v>
      </c>
      <c r="Z156" s="60" t="n">
        <f aca="false">IF(Z$5="A",Inputs_Actuals!Z119,Y157+Z155-(Z155*MIN(1,Client_Register!$J$13/30)+Y155*MIN(1,MAX(0,(Client_Register!$J$13-30)/30))+X155*MIN(1,MAX(0,(Client_Register!$J$13-60)/30))))</f>
        <v>0</v>
      </c>
      <c r="AA156" s="60" t="n">
        <f aca="false">IF(AA$5="A",Inputs_Actuals!AA119,Z157+AA155-(AA155*MIN(1,Client_Register!$J$13/30)+Z155*MIN(1,MAX(0,(Client_Register!$J$13-30)/30))+Y155*MIN(1,MAX(0,(Client_Register!$J$13-60)/30))))</f>
        <v>0</v>
      </c>
      <c r="AB156" s="60" t="n">
        <f aca="false">IF(AB$5="A",Inputs_Actuals!AB119,AA157+AB155-(AB155*MIN(1,Client_Register!$J$13/30)+AA155*MIN(1,MAX(0,(Client_Register!$J$13-30)/30))+Z155*MIN(1,MAX(0,(Client_Register!$J$13-60)/30))))</f>
        <v>0</v>
      </c>
    </row>
    <row r="157" customFormat="false" ht="15" hidden="false" customHeight="false" outlineLevel="0" collapsed="false">
      <c r="A157" s="68" t="s">
        <v>719</v>
      </c>
      <c r="B157" s="69" t="s">
        <v>720</v>
      </c>
      <c r="C157" s="70" t="n">
        <f aca="false">P157</f>
        <v>0</v>
      </c>
      <c r="D157" s="70" t="n">
        <f aca="false">AB157</f>
        <v>0</v>
      </c>
      <c r="E157" s="74" t="n">
        <f aca="false">Client_Register!$T$13+E155-E156</f>
        <v>0</v>
      </c>
      <c r="F157" s="70" t="n">
        <f aca="false">E157+F155-F156</f>
        <v>0</v>
      </c>
      <c r="G157" s="70" t="n">
        <f aca="false">F157+G155-G156</f>
        <v>0</v>
      </c>
      <c r="H157" s="70" t="n">
        <f aca="false">G157+H155-H156</f>
        <v>0</v>
      </c>
      <c r="I157" s="70" t="n">
        <f aca="false">H157+I155-I156</f>
        <v>0</v>
      </c>
      <c r="J157" s="70" t="n">
        <f aca="false">I157+J155-J156</f>
        <v>18698.27</v>
      </c>
      <c r="K157" s="70" t="n">
        <f aca="false">J157+K155-K156</f>
        <v>4444.6825</v>
      </c>
      <c r="L157" s="70" t="n">
        <f aca="false">K157+L155-L156</f>
        <v>5228.7109</v>
      </c>
      <c r="M157" s="70" t="n">
        <f aca="false">L157+M155-M156</f>
        <v>24391.7918222222</v>
      </c>
      <c r="N157" s="70" t="n">
        <f aca="false">M157+N155-N156</f>
        <v>1532.14755555556</v>
      </c>
      <c r="O157" s="70" t="n">
        <f aca="false">N157+O155-O156</f>
        <v>17412.8590222222</v>
      </c>
      <c r="P157" s="70" t="n">
        <f aca="false">O157+P155-P156</f>
        <v>0</v>
      </c>
      <c r="Q157" s="70" t="n">
        <f aca="false">P157+Q155-Q156</f>
        <v>0</v>
      </c>
      <c r="R157" s="70" t="n">
        <f aca="false">Q157+R155-R156</f>
        <v>0</v>
      </c>
      <c r="S157" s="70" t="n">
        <f aca="false">R157+S155-S156</f>
        <v>0</v>
      </c>
      <c r="T157" s="70" t="n">
        <f aca="false">S157+T155-T156</f>
        <v>0</v>
      </c>
      <c r="U157" s="70" t="n">
        <f aca="false">T157+U155-U156</f>
        <v>0</v>
      </c>
      <c r="V157" s="70" t="n">
        <f aca="false">U157+V155-V156</f>
        <v>0</v>
      </c>
      <c r="W157" s="70" t="n">
        <f aca="false">V157+W155-W156</f>
        <v>0</v>
      </c>
      <c r="X157" s="70" t="n">
        <f aca="false">W157+X155-X156</f>
        <v>0</v>
      </c>
      <c r="Y157" s="70" t="n">
        <f aca="false">X157+Y155-Y156</f>
        <v>0</v>
      </c>
      <c r="Z157" s="70" t="n">
        <f aca="false">Y157+Z155-Z156</f>
        <v>0</v>
      </c>
      <c r="AA157" s="70" t="n">
        <f aca="false">Z157+AA155-AA156</f>
        <v>0</v>
      </c>
      <c r="AB157" s="70" t="n">
        <f aca="false">AA157+AB155-AB156</f>
        <v>0</v>
      </c>
    </row>
    <row r="158" customFormat="false" ht="15" hidden="false" customHeight="false" outlineLevel="0" collapsed="false">
      <c r="A158" s="28" t="s">
        <v>721</v>
      </c>
      <c r="B158" s="58" t="s">
        <v>722</v>
      </c>
      <c r="C158" s="59" t="n">
        <f aca="false">P158</f>
        <v>0</v>
      </c>
      <c r="D158" s="59" t="n">
        <f aca="false">AB158</f>
        <v>0</v>
      </c>
      <c r="E158" s="60" t="n">
        <f aca="false">Client_Register!$U$13+E146-(E153-E152)</f>
        <v>0</v>
      </c>
      <c r="F158" s="71" t="n">
        <f aca="false">E158+F146-(F153-F152)</f>
        <v>0</v>
      </c>
      <c r="G158" s="71" t="n">
        <f aca="false">F158+G146-(G153-G152)</f>
        <v>0</v>
      </c>
      <c r="H158" s="71" t="n">
        <f aca="false">G158+H146-(H153-H152)</f>
        <v>0</v>
      </c>
      <c r="I158" s="71" t="n">
        <f aca="false">H158+I146-(I153-I152)</f>
        <v>0</v>
      </c>
      <c r="J158" s="71" t="n">
        <f aca="false">I158+J146-(J153-J152)</f>
        <v>-12580</v>
      </c>
      <c r="K158" s="71" t="n">
        <f aca="false">J158+K146-(K153-K152)</f>
        <v>-2220</v>
      </c>
      <c r="L158" s="71" t="n">
        <f aca="false">K158+L146-(L153-L152)</f>
        <v>10740</v>
      </c>
      <c r="M158" s="71" t="n">
        <f aca="false">L158+M146-(M153-M152)</f>
        <v>2042.96296296296</v>
      </c>
      <c r="N158" s="71" t="n">
        <f aca="false">M158+N146-(N153-N152)</f>
        <v>12583.7037037037</v>
      </c>
      <c r="O158" s="71" t="n">
        <f aca="false">N158+O146-(O153-O152)</f>
        <v>0</v>
      </c>
      <c r="P158" s="71" t="n">
        <f aca="false">O158+P146-(P153-P152)</f>
        <v>0</v>
      </c>
      <c r="Q158" s="71" t="n">
        <f aca="false">P158+Q146-(Q153-Q152)</f>
        <v>0</v>
      </c>
      <c r="R158" s="71" t="n">
        <f aca="false">Q158+R146-(R153-R152)</f>
        <v>0</v>
      </c>
      <c r="S158" s="71" t="n">
        <f aca="false">R158+S146-(S153-S152)</f>
        <v>0</v>
      </c>
      <c r="T158" s="71" t="n">
        <f aca="false">S158+T146-(T153-T152)</f>
        <v>0</v>
      </c>
      <c r="U158" s="71" t="n">
        <f aca="false">T158+U146-(U153-U152)</f>
        <v>0</v>
      </c>
      <c r="V158" s="71" t="n">
        <f aca="false">U158+V146-(V153-V152)</f>
        <v>0</v>
      </c>
      <c r="W158" s="71" t="n">
        <f aca="false">V158+W146-(W153-W152)</f>
        <v>0</v>
      </c>
      <c r="X158" s="71" t="n">
        <f aca="false">W158+X146-(X153-X152)</f>
        <v>0</v>
      </c>
      <c r="Y158" s="71" t="n">
        <f aca="false">X158+Y146-(Y153-Y152)</f>
        <v>0</v>
      </c>
      <c r="Z158" s="71" t="n">
        <f aca="false">Y158+Z146-(Z153-Z152)</f>
        <v>0</v>
      </c>
      <c r="AA158" s="71" t="n">
        <f aca="false">Z158+AA146-(AA153-AA152)</f>
        <v>0</v>
      </c>
      <c r="AB158" s="71" t="n">
        <f aca="false">AA158+AB146-(AB153-AB152)</f>
        <v>0</v>
      </c>
    </row>
    <row r="159" customFormat="false" ht="15" hidden="false" customHeight="false" outlineLevel="0" collapsed="false">
      <c r="A159" s="28" t="s">
        <v>723</v>
      </c>
      <c r="B159" s="58"/>
      <c r="C159" s="59" t="n">
        <f aca="false">P159</f>
        <v>0</v>
      </c>
      <c r="D159" s="59" t="n">
        <f aca="false">AB159</f>
        <v>0</v>
      </c>
      <c r="E159" s="60" t="n">
        <f aca="false">E157/FX!E10</f>
        <v>0</v>
      </c>
      <c r="F159" s="60" t="n">
        <f aca="false">F157/FX!F10</f>
        <v>0</v>
      </c>
      <c r="G159" s="60" t="n">
        <f aca="false">G157/FX!G10</f>
        <v>0</v>
      </c>
      <c r="H159" s="60" t="n">
        <f aca="false">H157/FX!H10</f>
        <v>0</v>
      </c>
      <c r="I159" s="60" t="n">
        <f aca="false">I157/FX!I10</f>
        <v>0</v>
      </c>
      <c r="J159" s="60" t="n">
        <f aca="false">J157/FX!J10</f>
        <v>21697.2661236046</v>
      </c>
      <c r="K159" s="60" t="n">
        <f aca="false">K157/FX!K10</f>
        <v>5194.0244002197</v>
      </c>
      <c r="L159" s="60" t="n">
        <f aca="false">L157/FX!L10</f>
        <v>6104.88382682608</v>
      </c>
      <c r="M159" s="60" t="n">
        <f aca="false">M157/FX!M10</f>
        <v>28479.1143076572</v>
      </c>
      <c r="N159" s="60" t="n">
        <f aca="false">N157/FX!N10</f>
        <v>1788.88888888889</v>
      </c>
      <c r="O159" s="60" t="n">
        <f aca="false">O157/FX!O10</f>
        <v>20330.7246196318</v>
      </c>
      <c r="P159" s="60" t="n">
        <f aca="false">P157/FX!P10</f>
        <v>0</v>
      </c>
      <c r="Q159" s="60" t="n">
        <f aca="false">Q157/FX!Q10</f>
        <v>0</v>
      </c>
      <c r="R159" s="60" t="n">
        <f aca="false">R157/FX!R10</f>
        <v>0</v>
      </c>
      <c r="S159" s="60" t="n">
        <f aca="false">S157/FX!S10</f>
        <v>0</v>
      </c>
      <c r="T159" s="60" t="n">
        <f aca="false">T157/FX!T10</f>
        <v>0</v>
      </c>
      <c r="U159" s="60" t="n">
        <f aca="false">U157/FX!U10</f>
        <v>0</v>
      </c>
      <c r="V159" s="60" t="n">
        <f aca="false">V157/FX!V10</f>
        <v>0</v>
      </c>
      <c r="W159" s="60" t="n">
        <f aca="false">W157/FX!W10</f>
        <v>0</v>
      </c>
      <c r="X159" s="60" t="n">
        <f aca="false">X157/FX!X10</f>
        <v>0</v>
      </c>
      <c r="Y159" s="60" t="n">
        <f aca="false">Y157/FX!Y10</f>
        <v>0</v>
      </c>
      <c r="Z159" s="60" t="n">
        <f aca="false">Z157/FX!Z10</f>
        <v>0</v>
      </c>
      <c r="AA159" s="60" t="n">
        <f aca="false">AA157/FX!AA10</f>
        <v>0</v>
      </c>
      <c r="AB159" s="60" t="n">
        <f aca="false">AB157/FX!AB10</f>
        <v>0</v>
      </c>
    </row>
    <row r="160" customFormat="false" ht="15" hidden="false" customHeight="false" outlineLevel="0" collapsed="false">
      <c r="A160" s="28" t="s">
        <v>724</v>
      </c>
      <c r="B160" s="58"/>
      <c r="C160" s="66" t="n">
        <f aca="false">P160</f>
        <v>0</v>
      </c>
      <c r="D160" s="66" t="n">
        <f aca="false">AB160</f>
        <v>0</v>
      </c>
      <c r="E160" s="72" t="n">
        <f aca="false">IFERROR(E157/AVERAGE(E155:E155)*30.4,0)</f>
        <v>0</v>
      </c>
      <c r="F160" s="72" t="n">
        <f aca="false">IFERROR(F157/AVERAGE(E155:F155)*30.4,0)</f>
        <v>0</v>
      </c>
      <c r="G160" s="72" t="n">
        <f aca="false">IFERROR(G157/AVERAGE(E155:G155)*30.4,0)</f>
        <v>0</v>
      </c>
      <c r="H160" s="72" t="n">
        <f aca="false">IFERROR(H157/AVERAGE(F155:H155)*30.4,0)</f>
        <v>0</v>
      </c>
      <c r="I160" s="72" t="n">
        <f aca="false">IFERROR(I157/AVERAGE(G155:I155)*30.4,0)</f>
        <v>0</v>
      </c>
      <c r="J160" s="72" t="n">
        <f aca="false">IFERROR(J157/AVERAGE(H155:J155)*30.4,0)</f>
        <v>101.504894285714</v>
      </c>
      <c r="K160" s="72" t="n">
        <f aca="false">IFERROR(K157/AVERAGE(I155:K155)*30.4,0)</f>
        <v>19.3507561487772</v>
      </c>
      <c r="L160" s="72" t="n">
        <f aca="false">IFERROR(L157/AVERAGE(J155:L155)*30.4,0)</f>
        <v>18.0211040980899</v>
      </c>
      <c r="M160" s="72" t="n">
        <f aca="false">IFERROR(M157/AVERAGE(K155:M155)*30.4,0)</f>
        <v>65.3257501227636</v>
      </c>
      <c r="N160" s="72" t="n">
        <f aca="false">IFERROR(N157/AVERAGE(L155:N155)*30.4,0)</f>
        <v>4.44478092558098</v>
      </c>
      <c r="O160" s="72" t="n">
        <f aca="false">IFERROR(O157/AVERAGE(M155:O155)*30.4,0)</f>
        <v>36.6444407860703</v>
      </c>
      <c r="P160" s="72" t="n">
        <f aca="false">IFERROR(P157/AVERAGE(N155:P155)*30.4,0)</f>
        <v>0</v>
      </c>
      <c r="Q160" s="72" t="n">
        <f aca="false">IFERROR(Q157/AVERAGE(O155:Q155)*30.4,0)</f>
        <v>0</v>
      </c>
      <c r="R160" s="72" t="n">
        <f aca="false">IFERROR(R157/AVERAGE(P155:R155)*30.4,0)</f>
        <v>0</v>
      </c>
      <c r="S160" s="72" t="n">
        <f aca="false">IFERROR(S157/AVERAGE(Q155:S155)*30.4,0)</f>
        <v>0</v>
      </c>
      <c r="T160" s="72" t="n">
        <f aca="false">IFERROR(T157/AVERAGE(R155:T155)*30.4,0)</f>
        <v>0</v>
      </c>
      <c r="U160" s="72" t="n">
        <f aca="false">IFERROR(U157/AVERAGE(S155:U155)*30.4,0)</f>
        <v>0</v>
      </c>
      <c r="V160" s="72" t="n">
        <f aca="false">IFERROR(V157/AVERAGE(T155:V155)*30.4,0)</f>
        <v>0</v>
      </c>
      <c r="W160" s="72" t="n">
        <f aca="false">IFERROR(W157/AVERAGE(U155:W155)*30.4,0)</f>
        <v>0</v>
      </c>
      <c r="X160" s="72" t="n">
        <f aca="false">IFERROR(X157/AVERAGE(V155:X155)*30.4,0)</f>
        <v>0</v>
      </c>
      <c r="Y160" s="72" t="n">
        <f aca="false">IFERROR(Y157/AVERAGE(W155:Y155)*30.4,0)</f>
        <v>0</v>
      </c>
      <c r="Z160" s="72" t="n">
        <f aca="false">IFERROR(Z157/AVERAGE(X155:Z155)*30.4,0)</f>
        <v>0</v>
      </c>
      <c r="AA160" s="72" t="n">
        <f aca="false">IFERROR(AA157/AVERAGE(Y155:AA155)*30.4,0)</f>
        <v>0</v>
      </c>
      <c r="AB160" s="72" t="n">
        <f aca="false">IFERROR(AB157/AVERAGE(Z155:AB155)*30.4,0)</f>
        <v>0</v>
      </c>
    </row>
    <row r="162" customFormat="false" ht="15" hidden="false" customHeight="false" outlineLevel="0" collapsed="false">
      <c r="A162" s="22" t="s">
        <v>731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row>
    <row r="163" customFormat="false" ht="15" hidden="false" customHeight="false" outlineLevel="0" collapsed="false">
      <c r="A163" s="28" t="s">
        <v>331</v>
      </c>
      <c r="B163" s="58" t="s">
        <v>49</v>
      </c>
      <c r="C163" s="59" t="n">
        <f aca="false">SUM(E163:P163)</f>
        <v>234000</v>
      </c>
      <c r="D163" s="59" t="n">
        <f aca="false">SUM(Q163:AB163)</f>
        <v>297024</v>
      </c>
      <c r="E163" s="60" t="n">
        <f aca="false">Retainers!E50</f>
        <v>0</v>
      </c>
      <c r="F163" s="60" t="n">
        <f aca="false">Retainers!F50</f>
        <v>0</v>
      </c>
      <c r="G163" s="60" t="n">
        <f aca="false">Retainers!G50</f>
        <v>0</v>
      </c>
      <c r="H163" s="60" t="n">
        <f aca="false">Retainers!H50</f>
        <v>26000</v>
      </c>
      <c r="I163" s="60" t="n">
        <f aca="false">Retainers!I50</f>
        <v>26000</v>
      </c>
      <c r="J163" s="60" t="n">
        <f aca="false">Retainers!J50</f>
        <v>26000</v>
      </c>
      <c r="K163" s="60" t="n">
        <f aca="false">Retainers!K50</f>
        <v>26000</v>
      </c>
      <c r="L163" s="60" t="n">
        <f aca="false">Retainers!L50</f>
        <v>26000</v>
      </c>
      <c r="M163" s="60" t="n">
        <f aca="false">Retainers!M50</f>
        <v>26000</v>
      </c>
      <c r="N163" s="60" t="n">
        <f aca="false">Retainers!N50</f>
        <v>26000</v>
      </c>
      <c r="O163" s="60" t="n">
        <f aca="false">Retainers!O50</f>
        <v>26000</v>
      </c>
      <c r="P163" s="60" t="n">
        <f aca="false">Retainers!P50</f>
        <v>26000</v>
      </c>
      <c r="Q163" s="60" t="n">
        <f aca="false">Retainers!Q50</f>
        <v>26000</v>
      </c>
      <c r="R163" s="60" t="n">
        <f aca="false">Retainers!R50</f>
        <v>26000</v>
      </c>
      <c r="S163" s="60" t="n">
        <f aca="false">Retainers!S50</f>
        <v>26000</v>
      </c>
      <c r="T163" s="60" t="n">
        <f aca="false">Retainers!T50</f>
        <v>24336</v>
      </c>
      <c r="U163" s="60" t="n">
        <f aca="false">Retainers!U50</f>
        <v>24336</v>
      </c>
      <c r="V163" s="60" t="n">
        <f aca="false">Retainers!V50</f>
        <v>24336</v>
      </c>
      <c r="W163" s="60" t="n">
        <f aca="false">Retainers!W50</f>
        <v>24336</v>
      </c>
      <c r="X163" s="60" t="n">
        <f aca="false">Retainers!X50</f>
        <v>24336</v>
      </c>
      <c r="Y163" s="60" t="n">
        <f aca="false">Retainers!Y50</f>
        <v>24336</v>
      </c>
      <c r="Z163" s="60" t="n">
        <f aca="false">Retainers!Z50</f>
        <v>24336</v>
      </c>
      <c r="AA163" s="60" t="n">
        <f aca="false">Retainers!AA50</f>
        <v>24336</v>
      </c>
      <c r="AB163" s="60" t="n">
        <f aca="false">Retainers!AB50</f>
        <v>24336</v>
      </c>
    </row>
    <row r="164" customFormat="false" ht="15" hidden="false" customHeight="false" outlineLevel="0" collapsed="false">
      <c r="A164" s="28" t="s">
        <v>700</v>
      </c>
      <c r="B164" s="58" t="s">
        <v>51</v>
      </c>
      <c r="C164" s="59" t="n">
        <f aca="false">SUM(E164:P164)</f>
        <v>120000</v>
      </c>
      <c r="D164" s="59" t="n">
        <f aca="false">SUM(Q164:AB164)</f>
        <v>0</v>
      </c>
      <c r="E164" s="60" t="n">
        <f aca="false">Projects!E164</f>
        <v>0</v>
      </c>
      <c r="F164" s="60" t="n">
        <f aca="false">Projects!F164</f>
        <v>0</v>
      </c>
      <c r="G164" s="60" t="n">
        <f aca="false">Projects!G164</f>
        <v>0</v>
      </c>
      <c r="H164" s="60" t="n">
        <f aca="false">Projects!H164</f>
        <v>0</v>
      </c>
      <c r="I164" s="60" t="n">
        <f aca="false">Projects!I164</f>
        <v>0</v>
      </c>
      <c r="J164" s="60" t="n">
        <f aca="false">Projects!J164</f>
        <v>0</v>
      </c>
      <c r="K164" s="60" t="n">
        <f aca="false">Projects!K164</f>
        <v>0</v>
      </c>
      <c r="L164" s="60" t="n">
        <f aca="false">Projects!L164</f>
        <v>0</v>
      </c>
      <c r="M164" s="60" t="n">
        <f aca="false">Projects!M164</f>
        <v>18750</v>
      </c>
      <c r="N164" s="60" t="n">
        <f aca="false">Projects!N164</f>
        <v>41250</v>
      </c>
      <c r="O164" s="60" t="n">
        <f aca="false">Projects!O164</f>
        <v>41250</v>
      </c>
      <c r="P164" s="60" t="n">
        <f aca="false">Projects!P164</f>
        <v>18750</v>
      </c>
      <c r="Q164" s="60" t="n">
        <f aca="false">Projects!Q164</f>
        <v>0</v>
      </c>
      <c r="R164" s="60" t="n">
        <f aca="false">Projects!R164</f>
        <v>0</v>
      </c>
      <c r="S164" s="60" t="n">
        <f aca="false">Projects!S164</f>
        <v>0</v>
      </c>
      <c r="T164" s="60" t="n">
        <f aca="false">Projects!T164</f>
        <v>0</v>
      </c>
      <c r="U164" s="60" t="n">
        <f aca="false">Projects!U164</f>
        <v>0</v>
      </c>
      <c r="V164" s="60" t="n">
        <f aca="false">Projects!V164</f>
        <v>0</v>
      </c>
      <c r="W164" s="60" t="n">
        <f aca="false">Projects!W164</f>
        <v>0</v>
      </c>
      <c r="X164" s="60" t="n">
        <f aca="false">Projects!X164</f>
        <v>0</v>
      </c>
      <c r="Y164" s="60" t="n">
        <f aca="false">Projects!Y164</f>
        <v>0</v>
      </c>
      <c r="Z164" s="60" t="n">
        <f aca="false">Projects!Z164</f>
        <v>0</v>
      </c>
      <c r="AA164" s="60" t="n">
        <f aca="false">Projects!AA164</f>
        <v>0</v>
      </c>
      <c r="AB164" s="60" t="n">
        <f aca="false">Projects!AB164</f>
        <v>0</v>
      </c>
    </row>
    <row r="165" customFormat="false" ht="15" hidden="false" customHeight="false" outlineLevel="0" collapsed="false">
      <c r="A165" s="28" t="s">
        <v>333</v>
      </c>
      <c r="B165" s="58" t="s">
        <v>53</v>
      </c>
      <c r="C165" s="59" t="n">
        <f aca="false">SUM(E165:P165)</f>
        <v>0</v>
      </c>
      <c r="D165" s="59" t="n">
        <f aca="false">SUM(Q165:AB165)</f>
        <v>0</v>
      </c>
      <c r="E165" s="71" t="n">
        <f aca="false">0</f>
        <v>0</v>
      </c>
      <c r="F165" s="71" t="n">
        <f aca="false">0</f>
        <v>0</v>
      </c>
      <c r="G165" s="71" t="n">
        <f aca="false">0</f>
        <v>0</v>
      </c>
      <c r="H165" s="71" t="n">
        <f aca="false">0</f>
        <v>0</v>
      </c>
      <c r="I165" s="71" t="n">
        <f aca="false">0</f>
        <v>0</v>
      </c>
      <c r="J165" s="71" t="n">
        <f aca="false">0</f>
        <v>0</v>
      </c>
      <c r="K165" s="71" t="n">
        <f aca="false">0</f>
        <v>0</v>
      </c>
      <c r="L165" s="71" t="n">
        <f aca="false">0</f>
        <v>0</v>
      </c>
      <c r="M165" s="71" t="n">
        <f aca="false">0</f>
        <v>0</v>
      </c>
      <c r="N165" s="71" t="n">
        <f aca="false">0</f>
        <v>0</v>
      </c>
      <c r="O165" s="71" t="n">
        <f aca="false">0</f>
        <v>0</v>
      </c>
      <c r="P165" s="71" t="n">
        <f aca="false">0</f>
        <v>0</v>
      </c>
      <c r="Q165" s="71" t="n">
        <f aca="false">0</f>
        <v>0</v>
      </c>
      <c r="R165" s="71" t="n">
        <f aca="false">0</f>
        <v>0</v>
      </c>
      <c r="S165" s="71" t="n">
        <f aca="false">0</f>
        <v>0</v>
      </c>
      <c r="T165" s="71" t="n">
        <f aca="false">0</f>
        <v>0</v>
      </c>
      <c r="U165" s="71" t="n">
        <f aca="false">0</f>
        <v>0</v>
      </c>
      <c r="V165" s="71" t="n">
        <f aca="false">0</f>
        <v>0</v>
      </c>
      <c r="W165" s="71" t="n">
        <f aca="false">0</f>
        <v>0</v>
      </c>
      <c r="X165" s="71" t="n">
        <f aca="false">0</f>
        <v>0</v>
      </c>
      <c r="Y165" s="71" t="n">
        <f aca="false">0</f>
        <v>0</v>
      </c>
      <c r="Z165" s="71" t="n">
        <f aca="false">0</f>
        <v>0</v>
      </c>
      <c r="AA165" s="71" t="n">
        <f aca="false">0</f>
        <v>0</v>
      </c>
      <c r="AB165" s="71" t="n">
        <f aca="false">0</f>
        <v>0</v>
      </c>
    </row>
    <row r="166" customFormat="false" ht="15" hidden="false" customHeight="false" outlineLevel="0" collapsed="false">
      <c r="A166" s="28" t="s">
        <v>334</v>
      </c>
      <c r="B166" s="58" t="s">
        <v>53</v>
      </c>
      <c r="C166" s="59" t="n">
        <f aca="false">SUM(E166:P166)</f>
        <v>0</v>
      </c>
      <c r="D166" s="59" t="n">
        <f aca="false">SUM(Q166:AB166)</f>
        <v>0</v>
      </c>
      <c r="E166" s="71" t="n">
        <f aca="false">0</f>
        <v>0</v>
      </c>
      <c r="F166" s="71" t="n">
        <f aca="false">0</f>
        <v>0</v>
      </c>
      <c r="G166" s="71" t="n">
        <f aca="false">0</f>
        <v>0</v>
      </c>
      <c r="H166" s="71" t="n">
        <f aca="false">0</f>
        <v>0</v>
      </c>
      <c r="I166" s="71" t="n">
        <f aca="false">0</f>
        <v>0</v>
      </c>
      <c r="J166" s="71" t="n">
        <f aca="false">0</f>
        <v>0</v>
      </c>
      <c r="K166" s="71" t="n">
        <f aca="false">0</f>
        <v>0</v>
      </c>
      <c r="L166" s="71" t="n">
        <f aca="false">0</f>
        <v>0</v>
      </c>
      <c r="M166" s="71" t="n">
        <f aca="false">0</f>
        <v>0</v>
      </c>
      <c r="N166" s="71" t="n">
        <f aca="false">0</f>
        <v>0</v>
      </c>
      <c r="O166" s="71" t="n">
        <f aca="false">0</f>
        <v>0</v>
      </c>
      <c r="P166" s="71" t="n">
        <f aca="false">0</f>
        <v>0</v>
      </c>
      <c r="Q166" s="71" t="n">
        <f aca="false">0</f>
        <v>0</v>
      </c>
      <c r="R166" s="71" t="n">
        <f aca="false">0</f>
        <v>0</v>
      </c>
      <c r="S166" s="71" t="n">
        <f aca="false">0</f>
        <v>0</v>
      </c>
      <c r="T166" s="71" t="n">
        <f aca="false">0</f>
        <v>0</v>
      </c>
      <c r="U166" s="71" t="n">
        <f aca="false">0</f>
        <v>0</v>
      </c>
      <c r="V166" s="71" t="n">
        <f aca="false">0</f>
        <v>0</v>
      </c>
      <c r="W166" s="71" t="n">
        <f aca="false">0</f>
        <v>0</v>
      </c>
      <c r="X166" s="71" t="n">
        <f aca="false">0</f>
        <v>0</v>
      </c>
      <c r="Y166" s="71" t="n">
        <f aca="false">0</f>
        <v>0</v>
      </c>
      <c r="Z166" s="71" t="n">
        <f aca="false">0</f>
        <v>0</v>
      </c>
      <c r="AA166" s="71" t="n">
        <f aca="false">0</f>
        <v>0</v>
      </c>
      <c r="AB166" s="71" t="n">
        <f aca="false">0</f>
        <v>0</v>
      </c>
    </row>
    <row r="167" customFormat="false" ht="15" hidden="false" customHeight="false" outlineLevel="0" collapsed="false">
      <c r="A167" s="28" t="s">
        <v>701</v>
      </c>
      <c r="B167" s="58" t="s">
        <v>51</v>
      </c>
      <c r="C167" s="59" t="n">
        <f aca="false">SUM(E167:P167)</f>
        <v>38962.56</v>
      </c>
      <c r="D167" s="59" t="n">
        <f aca="false">SUM(Q167:AB167)</f>
        <v>0</v>
      </c>
      <c r="E167" s="60" t="n">
        <f aca="false">Projects!E170</f>
        <v>0</v>
      </c>
      <c r="F167" s="60" t="n">
        <f aca="false">Projects!F170</f>
        <v>0</v>
      </c>
      <c r="G167" s="60" t="n">
        <f aca="false">Projects!G170</f>
        <v>0</v>
      </c>
      <c r="H167" s="60" t="n">
        <f aca="false">Projects!H170</f>
        <v>0</v>
      </c>
      <c r="I167" s="60" t="n">
        <f aca="false">Projects!I170</f>
        <v>0</v>
      </c>
      <c r="J167" s="60" t="n">
        <f aca="false">Projects!J170</f>
        <v>0</v>
      </c>
      <c r="K167" s="60" t="n">
        <f aca="false">Projects!K170</f>
        <v>0</v>
      </c>
      <c r="L167" s="60" t="n">
        <f aca="false">Projects!L170</f>
        <v>0</v>
      </c>
      <c r="M167" s="60" t="n">
        <f aca="false">Projects!M170</f>
        <v>6087.9</v>
      </c>
      <c r="N167" s="60" t="n">
        <f aca="false">Projects!N170</f>
        <v>13393.38</v>
      </c>
      <c r="O167" s="60" t="n">
        <f aca="false">Projects!O170</f>
        <v>13393.38</v>
      </c>
      <c r="P167" s="60" t="n">
        <f aca="false">Projects!P170</f>
        <v>6087.9</v>
      </c>
      <c r="Q167" s="60" t="n">
        <f aca="false">Projects!Q170</f>
        <v>0</v>
      </c>
      <c r="R167" s="60" t="n">
        <f aca="false">Projects!R170</f>
        <v>0</v>
      </c>
      <c r="S167" s="60" t="n">
        <f aca="false">Projects!S170</f>
        <v>0</v>
      </c>
      <c r="T167" s="60" t="n">
        <f aca="false">Projects!T170</f>
        <v>0</v>
      </c>
      <c r="U167" s="60" t="n">
        <f aca="false">Projects!U170</f>
        <v>0</v>
      </c>
      <c r="V167" s="60" t="n">
        <f aca="false">Projects!V170</f>
        <v>0</v>
      </c>
      <c r="W167" s="60" t="n">
        <f aca="false">Projects!W170</f>
        <v>0</v>
      </c>
      <c r="X167" s="60" t="n">
        <f aca="false">Projects!X170</f>
        <v>0</v>
      </c>
      <c r="Y167" s="60" t="n">
        <f aca="false">Projects!Y170</f>
        <v>0</v>
      </c>
      <c r="Z167" s="60" t="n">
        <f aca="false">Projects!Z170</f>
        <v>0</v>
      </c>
      <c r="AA167" s="60" t="n">
        <f aca="false">Projects!AA170</f>
        <v>0</v>
      </c>
      <c r="AB167" s="60" t="n">
        <f aca="false">Projects!AB170</f>
        <v>0</v>
      </c>
    </row>
    <row r="168" customFormat="false" ht="15" hidden="false" customHeight="false" outlineLevel="0" collapsed="false">
      <c r="A168" s="68" t="s">
        <v>732</v>
      </c>
      <c r="B168" s="69"/>
      <c r="C168" s="70" t="n">
        <f aca="false">SUM(E168:P168)</f>
        <v>392962.56</v>
      </c>
      <c r="D168" s="70" t="n">
        <f aca="false">SUM(Q168:AB168)</f>
        <v>297024</v>
      </c>
      <c r="E168" s="70" t="n">
        <f aca="false">SUM(E163:E167)</f>
        <v>0</v>
      </c>
      <c r="F168" s="70" t="n">
        <f aca="false">SUM(F163:F167)</f>
        <v>0</v>
      </c>
      <c r="G168" s="70" t="n">
        <f aca="false">SUM(G163:G167)</f>
        <v>0</v>
      </c>
      <c r="H168" s="70" t="n">
        <f aca="false">SUM(H163:H167)</f>
        <v>26000</v>
      </c>
      <c r="I168" s="70" t="n">
        <f aca="false">SUM(I163:I167)</f>
        <v>26000</v>
      </c>
      <c r="J168" s="70" t="n">
        <f aca="false">SUM(J163:J167)</f>
        <v>26000</v>
      </c>
      <c r="K168" s="70" t="n">
        <f aca="false">SUM(K163:K167)</f>
        <v>26000</v>
      </c>
      <c r="L168" s="70" t="n">
        <f aca="false">SUM(L163:L167)</f>
        <v>26000</v>
      </c>
      <c r="M168" s="70" t="n">
        <f aca="false">SUM(M163:M167)</f>
        <v>50837.9</v>
      </c>
      <c r="N168" s="70" t="n">
        <f aca="false">SUM(N163:N167)</f>
        <v>80643.38</v>
      </c>
      <c r="O168" s="70" t="n">
        <f aca="false">SUM(O163:O167)</f>
        <v>80643.38</v>
      </c>
      <c r="P168" s="70" t="n">
        <f aca="false">SUM(P163:P167)</f>
        <v>50837.9</v>
      </c>
      <c r="Q168" s="70" t="n">
        <f aca="false">SUM(Q163:Q167)</f>
        <v>26000</v>
      </c>
      <c r="R168" s="70" t="n">
        <f aca="false">SUM(R163:R167)</f>
        <v>26000</v>
      </c>
      <c r="S168" s="70" t="n">
        <f aca="false">SUM(S163:S167)</f>
        <v>26000</v>
      </c>
      <c r="T168" s="70" t="n">
        <f aca="false">SUM(T163:T167)</f>
        <v>24336</v>
      </c>
      <c r="U168" s="70" t="n">
        <f aca="false">SUM(U163:U167)</f>
        <v>24336</v>
      </c>
      <c r="V168" s="70" t="n">
        <f aca="false">SUM(V163:V167)</f>
        <v>24336</v>
      </c>
      <c r="W168" s="70" t="n">
        <f aca="false">SUM(W163:W167)</f>
        <v>24336</v>
      </c>
      <c r="X168" s="70" t="n">
        <f aca="false">SUM(X163:X167)</f>
        <v>24336</v>
      </c>
      <c r="Y168" s="70" t="n">
        <f aca="false">SUM(Y163:Y167)</f>
        <v>24336</v>
      </c>
      <c r="Z168" s="70" t="n">
        <f aca="false">SUM(Z163:Z167)</f>
        <v>24336</v>
      </c>
      <c r="AA168" s="70" t="n">
        <f aca="false">SUM(AA163:AA167)</f>
        <v>24336</v>
      </c>
      <c r="AB168" s="70" t="n">
        <f aca="false">SUM(AB163:AB167)</f>
        <v>24336</v>
      </c>
    </row>
    <row r="169" customFormat="false" ht="15" hidden="false" customHeight="false" outlineLevel="0" collapsed="false">
      <c r="A169" s="28" t="s">
        <v>703</v>
      </c>
      <c r="B169" s="58"/>
      <c r="C169" s="59" t="n">
        <f aca="false">SUM(E169:P169)</f>
        <v>339286.497645635</v>
      </c>
      <c r="D169" s="59" t="n">
        <f aca="false">SUM(Q169:AB169)</f>
        <v>256143.497757848</v>
      </c>
      <c r="E169" s="60" t="n">
        <f aca="false">E168/FX!E11</f>
        <v>0</v>
      </c>
      <c r="F169" s="60" t="n">
        <f aca="false">F168/FX!F11</f>
        <v>0</v>
      </c>
      <c r="G169" s="60" t="n">
        <f aca="false">G168/FX!G11</f>
        <v>0</v>
      </c>
      <c r="H169" s="60" t="n">
        <f aca="false">H168/FX!H11</f>
        <v>22413.7931034483</v>
      </c>
      <c r="I169" s="60" t="n">
        <f aca="false">I168/FX!I11</f>
        <v>22273.6228904309</v>
      </c>
      <c r="J169" s="60" t="n">
        <f aca="false">J168/FX!J11</f>
        <v>22571.4037676882</v>
      </c>
      <c r="K169" s="60" t="n">
        <f aca="false">K168/FX!K11</f>
        <v>22728.2660955461</v>
      </c>
      <c r="L169" s="60" t="n">
        <f aca="false">L168/FX!L11</f>
        <v>22529.3531476106</v>
      </c>
      <c r="M169" s="60" t="n">
        <f aca="false">M168/FX!M11</f>
        <v>43840.8934115212</v>
      </c>
      <c r="N169" s="60" t="n">
        <f aca="false">N168/FX!N11</f>
        <v>69544.1359089341</v>
      </c>
      <c r="O169" s="60" t="n">
        <f aca="false">O168/FX!O11</f>
        <v>69544.1359089341</v>
      </c>
      <c r="P169" s="60" t="n">
        <f aca="false">P168/FX!P11</f>
        <v>43840.8934115212</v>
      </c>
      <c r="Q169" s="60" t="n">
        <f aca="false">Q168/FX!Q11</f>
        <v>22421.5246636771</v>
      </c>
      <c r="R169" s="60" t="n">
        <f aca="false">R168/FX!R11</f>
        <v>22421.5246636771</v>
      </c>
      <c r="S169" s="60" t="n">
        <f aca="false">S168/FX!S11</f>
        <v>22421.5246636771</v>
      </c>
      <c r="T169" s="60" t="n">
        <f aca="false">T168/FX!T11</f>
        <v>20986.5470852018</v>
      </c>
      <c r="U169" s="60" t="n">
        <f aca="false">U168/FX!U11</f>
        <v>20986.5470852018</v>
      </c>
      <c r="V169" s="60" t="n">
        <f aca="false">V168/FX!V11</f>
        <v>20986.5470852018</v>
      </c>
      <c r="W169" s="60" t="n">
        <f aca="false">W168/FX!W11</f>
        <v>20986.5470852018</v>
      </c>
      <c r="X169" s="60" t="n">
        <f aca="false">X168/FX!X11</f>
        <v>20986.5470852018</v>
      </c>
      <c r="Y169" s="60" t="n">
        <f aca="false">Y168/FX!Y11</f>
        <v>20986.5470852018</v>
      </c>
      <c r="Z169" s="60" t="n">
        <f aca="false">Z168/FX!Z11</f>
        <v>20986.5470852018</v>
      </c>
      <c r="AA169" s="60" t="n">
        <f aca="false">AA168/FX!AA11</f>
        <v>20986.5470852018</v>
      </c>
      <c r="AB169" s="60" t="n">
        <f aca="false">AB168/FX!AB11</f>
        <v>20986.5470852018</v>
      </c>
    </row>
    <row r="170" customFormat="false" ht="15" hidden="false" customHeight="false" outlineLevel="0" collapsed="false">
      <c r="A170" s="28" t="s">
        <v>704</v>
      </c>
      <c r="B170" s="58" t="s">
        <v>51</v>
      </c>
      <c r="C170" s="59" t="n">
        <f aca="false">SUM(E170:P170)</f>
        <v>30000</v>
      </c>
      <c r="D170" s="59" t="n">
        <f aca="false">SUM(Q170:AB170)</f>
        <v>0</v>
      </c>
      <c r="E170" s="60" t="n">
        <f aca="false">Projects!E169</f>
        <v>0</v>
      </c>
      <c r="F170" s="60" t="n">
        <f aca="false">Projects!F169</f>
        <v>0</v>
      </c>
      <c r="G170" s="60" t="n">
        <f aca="false">Projects!G169</f>
        <v>0</v>
      </c>
      <c r="H170" s="60" t="n">
        <f aca="false">Projects!H169</f>
        <v>0</v>
      </c>
      <c r="I170" s="60" t="n">
        <f aca="false">Projects!I169</f>
        <v>0</v>
      </c>
      <c r="J170" s="60" t="n">
        <f aca="false">Projects!J169</f>
        <v>0</v>
      </c>
      <c r="K170" s="60" t="n">
        <f aca="false">Projects!K169</f>
        <v>0</v>
      </c>
      <c r="L170" s="60" t="n">
        <f aca="false">Projects!L169</f>
        <v>0</v>
      </c>
      <c r="M170" s="60" t="n">
        <f aca="false">Projects!M169</f>
        <v>4687.5</v>
      </c>
      <c r="N170" s="60" t="n">
        <f aca="false">Projects!N169</f>
        <v>10312.5</v>
      </c>
      <c r="O170" s="60" t="n">
        <f aca="false">Projects!O169</f>
        <v>10312.5</v>
      </c>
      <c r="P170" s="60" t="n">
        <f aca="false">Projects!P169</f>
        <v>4687.5</v>
      </c>
      <c r="Q170" s="60" t="n">
        <f aca="false">Projects!Q169</f>
        <v>0</v>
      </c>
      <c r="R170" s="60" t="n">
        <f aca="false">Projects!R169</f>
        <v>0</v>
      </c>
      <c r="S170" s="60" t="n">
        <f aca="false">Projects!S169</f>
        <v>0</v>
      </c>
      <c r="T170" s="60" t="n">
        <f aca="false">Projects!T169</f>
        <v>0</v>
      </c>
      <c r="U170" s="60" t="n">
        <f aca="false">Projects!U169</f>
        <v>0</v>
      </c>
      <c r="V170" s="60" t="n">
        <f aca="false">Projects!V169</f>
        <v>0</v>
      </c>
      <c r="W170" s="60" t="n">
        <f aca="false">Projects!W169</f>
        <v>0</v>
      </c>
      <c r="X170" s="60" t="n">
        <f aca="false">Projects!X169</f>
        <v>0</v>
      </c>
      <c r="Y170" s="60" t="n">
        <f aca="false">Projects!Y169</f>
        <v>0</v>
      </c>
      <c r="Z170" s="60" t="n">
        <f aca="false">Projects!Z169</f>
        <v>0</v>
      </c>
      <c r="AA170" s="60" t="n">
        <f aca="false">Projects!AA169</f>
        <v>0</v>
      </c>
      <c r="AB170" s="60" t="n">
        <f aca="false">Projects!AB169</f>
        <v>0</v>
      </c>
    </row>
    <row r="171" customFormat="false" ht="15" hidden="false" customHeight="false" outlineLevel="0" collapsed="false">
      <c r="A171" s="68" t="s">
        <v>705</v>
      </c>
      <c r="B171" s="69" t="s">
        <v>706</v>
      </c>
      <c r="C171" s="70" t="n">
        <f aca="false">SUM(E171:P171)</f>
        <v>309286.497645635</v>
      </c>
      <c r="D171" s="70" t="n">
        <f aca="false">SUM(Q171:AB171)</f>
        <v>256143.497757848</v>
      </c>
      <c r="E171" s="70" t="n">
        <f aca="false">E169-E170</f>
        <v>0</v>
      </c>
      <c r="F171" s="70" t="n">
        <f aca="false">F169-F170</f>
        <v>0</v>
      </c>
      <c r="G171" s="70" t="n">
        <f aca="false">G169-G170</f>
        <v>0</v>
      </c>
      <c r="H171" s="70" t="n">
        <f aca="false">H169-H170</f>
        <v>22413.7931034483</v>
      </c>
      <c r="I171" s="70" t="n">
        <f aca="false">I169-I170</f>
        <v>22273.6228904309</v>
      </c>
      <c r="J171" s="70" t="n">
        <f aca="false">J169-J170</f>
        <v>22571.4037676882</v>
      </c>
      <c r="K171" s="70" t="n">
        <f aca="false">K169-K170</f>
        <v>22728.2660955461</v>
      </c>
      <c r="L171" s="70" t="n">
        <f aca="false">L169-L170</f>
        <v>22529.3531476106</v>
      </c>
      <c r="M171" s="70" t="n">
        <f aca="false">M169-M170</f>
        <v>39153.3934115212</v>
      </c>
      <c r="N171" s="70" t="n">
        <f aca="false">N169-N170</f>
        <v>59231.6359089341</v>
      </c>
      <c r="O171" s="70" t="n">
        <f aca="false">O169-O170</f>
        <v>59231.6359089341</v>
      </c>
      <c r="P171" s="70" t="n">
        <f aca="false">P169-P170</f>
        <v>39153.3934115212</v>
      </c>
      <c r="Q171" s="70" t="n">
        <f aca="false">Q169-Q170</f>
        <v>22421.5246636771</v>
      </c>
      <c r="R171" s="70" t="n">
        <f aca="false">R169-R170</f>
        <v>22421.5246636771</v>
      </c>
      <c r="S171" s="70" t="n">
        <f aca="false">S169-S170</f>
        <v>22421.5246636771</v>
      </c>
      <c r="T171" s="70" t="n">
        <f aca="false">T169-T170</f>
        <v>20986.5470852018</v>
      </c>
      <c r="U171" s="70" t="n">
        <f aca="false">U169-U170</f>
        <v>20986.5470852018</v>
      </c>
      <c r="V171" s="70" t="n">
        <f aca="false">V169-V170</f>
        <v>20986.5470852018</v>
      </c>
      <c r="W171" s="70" t="n">
        <f aca="false">W169-W170</f>
        <v>20986.5470852018</v>
      </c>
      <c r="X171" s="70" t="n">
        <f aca="false">X169-X170</f>
        <v>20986.5470852018</v>
      </c>
      <c r="Y171" s="70" t="n">
        <f aca="false">Y169-Y170</f>
        <v>20986.5470852018</v>
      </c>
      <c r="Z171" s="70" t="n">
        <f aca="false">Z169-Z170</f>
        <v>20986.5470852018</v>
      </c>
      <c r="AA171" s="70" t="n">
        <f aca="false">AA169-AA170</f>
        <v>20986.5470852018</v>
      </c>
      <c r="AB171" s="70" t="n">
        <f aca="false">AB169-AB170</f>
        <v>20986.5470852018</v>
      </c>
    </row>
    <row r="172" customFormat="false" ht="15" hidden="false" customHeight="false" outlineLevel="0" collapsed="false">
      <c r="A172" s="28" t="s">
        <v>707</v>
      </c>
      <c r="B172" s="58" t="s">
        <v>708</v>
      </c>
      <c r="C172" s="66" t="n">
        <f aca="false">SUM(E172:P172)</f>
        <v>3121.652</v>
      </c>
      <c r="D172" s="66" t="n">
        <f aca="false">SUM(Q172:AB172)</f>
        <v>2622.2418</v>
      </c>
      <c r="E172" s="67" t="n">
        <f aca="false">Retainers!E53+Projects!E158</f>
        <v>0</v>
      </c>
      <c r="F172" s="67" t="n">
        <f aca="false">Retainers!F53+Projects!F158</f>
        <v>0</v>
      </c>
      <c r="G172" s="67" t="n">
        <f aca="false">Retainers!G53+Projects!G158</f>
        <v>0</v>
      </c>
      <c r="H172" s="67" t="n">
        <f aca="false">Retainers!H53+Projects!H158</f>
        <v>251.1</v>
      </c>
      <c r="I172" s="67" t="n">
        <f aca="false">Retainers!I53+Projects!I158</f>
        <v>255.8</v>
      </c>
      <c r="J172" s="67" t="n">
        <f aca="false">Retainers!J53+Projects!J158</f>
        <v>244.2</v>
      </c>
      <c r="K172" s="67" t="n">
        <f aca="false">Retainers!K53+Projects!K158</f>
        <v>240.5</v>
      </c>
      <c r="L172" s="67" t="n">
        <f aca="false">Retainers!L53+Projects!L158</f>
        <v>235.1</v>
      </c>
      <c r="M172" s="67" t="n">
        <f aca="false">Retainers!M53+Projects!M158</f>
        <v>384.6755</v>
      </c>
      <c r="N172" s="67" t="n">
        <f aca="false">Retainers!N53+Projects!N158</f>
        <v>562.8005</v>
      </c>
      <c r="O172" s="67" t="n">
        <f aca="false">Retainers!O53+Projects!O158</f>
        <v>562.8005</v>
      </c>
      <c r="P172" s="67" t="n">
        <f aca="false">Retainers!P53+Projects!P158</f>
        <v>384.6755</v>
      </c>
      <c r="Q172" s="67" t="n">
        <f aca="false">Retainers!Q53+Projects!Q158</f>
        <v>236.238</v>
      </c>
      <c r="R172" s="67" t="n">
        <f aca="false">Retainers!R53+Projects!R158</f>
        <v>236.238</v>
      </c>
      <c r="S172" s="67" t="n">
        <f aca="false">Retainers!S53+Projects!S158</f>
        <v>236.238</v>
      </c>
      <c r="T172" s="67" t="n">
        <f aca="false">Retainers!T53+Projects!T158</f>
        <v>212.6142</v>
      </c>
      <c r="U172" s="67" t="n">
        <f aca="false">Retainers!U53+Projects!U158</f>
        <v>212.6142</v>
      </c>
      <c r="V172" s="67" t="n">
        <f aca="false">Retainers!V53+Projects!V158</f>
        <v>212.6142</v>
      </c>
      <c r="W172" s="67" t="n">
        <f aca="false">Retainers!W53+Projects!W158</f>
        <v>212.6142</v>
      </c>
      <c r="X172" s="67" t="n">
        <f aca="false">Retainers!X53+Projects!X158</f>
        <v>212.6142</v>
      </c>
      <c r="Y172" s="67" t="n">
        <f aca="false">Retainers!Y53+Projects!Y158</f>
        <v>212.6142</v>
      </c>
      <c r="Z172" s="67" t="n">
        <f aca="false">Retainers!Z53+Projects!Z158</f>
        <v>212.6142</v>
      </c>
      <c r="AA172" s="67" t="n">
        <f aca="false">Retainers!AA53+Projects!AA158</f>
        <v>212.6142</v>
      </c>
      <c r="AB172" s="67" t="n">
        <f aca="false">Retainers!AB53+Projects!AB158</f>
        <v>212.6142</v>
      </c>
    </row>
    <row r="173" customFormat="false" ht="15" hidden="false" customHeight="false" outlineLevel="0" collapsed="false">
      <c r="A173" s="28" t="s">
        <v>709</v>
      </c>
      <c r="B173" s="58" t="s">
        <v>710</v>
      </c>
      <c r="C173" s="59" t="n">
        <f aca="false">SUM(E173:P173)</f>
        <v>167701.160420161</v>
      </c>
      <c r="D173" s="59" t="n">
        <f aca="false">SUM(Q173:AB173)</f>
        <v>148176.683677896</v>
      </c>
      <c r="E173" s="60" t="n">
        <f aca="false">Retainers!E53*Utilisation!E90+Projects!E158*Utilisation!E91</f>
        <v>0</v>
      </c>
      <c r="F173" s="60" t="n">
        <f aca="false">Retainers!F53*Utilisation!F90+Projects!F158*Utilisation!F91</f>
        <v>0</v>
      </c>
      <c r="G173" s="60" t="n">
        <f aca="false">Retainers!G53*Utilisation!G90+Projects!G158*Utilisation!G91</f>
        <v>0</v>
      </c>
      <c r="H173" s="60" t="n">
        <f aca="false">Retainers!H53*Utilisation!H90+Projects!H158*Utilisation!H91</f>
        <v>13578.0547940161</v>
      </c>
      <c r="I173" s="60" t="n">
        <f aca="false">Retainers!I53*Utilisation!I90+Projects!I158*Utilisation!I91</f>
        <v>13832.2039677791</v>
      </c>
      <c r="J173" s="60" t="n">
        <f aca="false">Retainers!J53*Utilisation!J90+Projects!J158*Utilisation!J91</f>
        <v>13204.9421772152</v>
      </c>
      <c r="K173" s="60" t="n">
        <f aca="false">Retainers!K53*Utilisation!K90+Projects!K158*Utilisation!K91</f>
        <v>13004.8672957422</v>
      </c>
      <c r="L173" s="60" t="n">
        <f aca="false">Retainers!L53*Utilisation!L90+Projects!L158*Utilisation!L91</f>
        <v>12712.8661173763</v>
      </c>
      <c r="M173" s="60" t="n">
        <f aca="false">Retainers!M53*Utilisation!M90+Projects!M158*Utilisation!M91</f>
        <v>20629.1863213809</v>
      </c>
      <c r="N173" s="60" t="n">
        <f aca="false">Retainers!N53*Utilisation!N90+Projects!N158*Utilisation!N91</f>
        <v>30054.9267126352</v>
      </c>
      <c r="O173" s="60" t="n">
        <f aca="false">Retainers!O53*Utilisation!O90+Projects!O158*Utilisation!O91</f>
        <v>30054.9267126352</v>
      </c>
      <c r="P173" s="60" t="n">
        <f aca="false">Retainers!P53*Utilisation!P90+Projects!P158*Utilisation!P91</f>
        <v>20629.1863213809</v>
      </c>
      <c r="Q173" s="60" t="n">
        <f aca="false">Retainers!Q53*Utilisation!Q90+Projects!Q158*Utilisation!Q91</f>
        <v>13349.2507817924</v>
      </c>
      <c r="R173" s="60" t="n">
        <f aca="false">Retainers!R53*Utilisation!R90+Projects!R158*Utilisation!R91</f>
        <v>13349.2507817924</v>
      </c>
      <c r="S173" s="60" t="n">
        <f aca="false">Retainers!S53*Utilisation!S90+Projects!S158*Utilisation!S91</f>
        <v>13349.2507817924</v>
      </c>
      <c r="T173" s="60" t="n">
        <f aca="false">Retainers!T53*Utilisation!T90+Projects!T158*Utilisation!T91</f>
        <v>12014.3257036132</v>
      </c>
      <c r="U173" s="60" t="n">
        <f aca="false">Retainers!U53*Utilisation!U90+Projects!U158*Utilisation!U91</f>
        <v>12014.3257036132</v>
      </c>
      <c r="V173" s="60" t="n">
        <f aca="false">Retainers!V53*Utilisation!V90+Projects!V158*Utilisation!V91</f>
        <v>12014.3257036132</v>
      </c>
      <c r="W173" s="60" t="n">
        <f aca="false">Retainers!W53*Utilisation!W90+Projects!W158*Utilisation!W91</f>
        <v>12014.3257036132</v>
      </c>
      <c r="X173" s="60" t="n">
        <f aca="false">Retainers!X53*Utilisation!X90+Projects!X158*Utilisation!X91</f>
        <v>12014.3257036132</v>
      </c>
      <c r="Y173" s="60" t="n">
        <f aca="false">Retainers!Y53*Utilisation!Y90+Projects!Y158*Utilisation!Y91</f>
        <v>12014.3257036132</v>
      </c>
      <c r="Z173" s="60" t="n">
        <f aca="false">Retainers!Z53*Utilisation!Z90+Projects!Z158*Utilisation!Z91</f>
        <v>12014.3257036132</v>
      </c>
      <c r="AA173" s="60" t="n">
        <f aca="false">Retainers!AA53*Utilisation!AA90+Projects!AA158*Utilisation!AA91</f>
        <v>12014.3257036132</v>
      </c>
      <c r="AB173" s="60" t="n">
        <f aca="false">Retainers!AB53*Utilisation!AB90+Projects!AB158*Utilisation!AB91</f>
        <v>12014.3257036132</v>
      </c>
    </row>
    <row r="174" customFormat="false" ht="15" hidden="false" customHeight="false" outlineLevel="0" collapsed="false">
      <c r="A174" s="28" t="s">
        <v>711</v>
      </c>
      <c r="B174" s="58" t="s">
        <v>53</v>
      </c>
      <c r="C174" s="59" t="n">
        <f aca="false">SUM(E174:P174)</f>
        <v>0</v>
      </c>
      <c r="D174" s="59" t="n">
        <f aca="false">SUM(Q174:AB174)</f>
        <v>0</v>
      </c>
      <c r="E174" s="71" t="n">
        <f aca="false">0</f>
        <v>0</v>
      </c>
      <c r="F174" s="71" t="n">
        <f aca="false">0</f>
        <v>0</v>
      </c>
      <c r="G174" s="71" t="n">
        <f aca="false">0</f>
        <v>0</v>
      </c>
      <c r="H174" s="71" t="n">
        <f aca="false">0</f>
        <v>0</v>
      </c>
      <c r="I174" s="71" t="n">
        <f aca="false">0</f>
        <v>0</v>
      </c>
      <c r="J174" s="71" t="n">
        <f aca="false">0</f>
        <v>0</v>
      </c>
      <c r="K174" s="71" t="n">
        <f aca="false">0</f>
        <v>0</v>
      </c>
      <c r="L174" s="71" t="n">
        <f aca="false">0</f>
        <v>0</v>
      </c>
      <c r="M174" s="71" t="n">
        <f aca="false">0</f>
        <v>0</v>
      </c>
      <c r="N174" s="71" t="n">
        <f aca="false">0</f>
        <v>0</v>
      </c>
      <c r="O174" s="71" t="n">
        <f aca="false">0</f>
        <v>0</v>
      </c>
      <c r="P174" s="71" t="n">
        <f aca="false">0</f>
        <v>0</v>
      </c>
      <c r="Q174" s="71" t="n">
        <f aca="false">0</f>
        <v>0</v>
      </c>
      <c r="R174" s="71" t="n">
        <f aca="false">0</f>
        <v>0</v>
      </c>
      <c r="S174" s="71" t="n">
        <f aca="false">0</f>
        <v>0</v>
      </c>
      <c r="T174" s="71" t="n">
        <f aca="false">0</f>
        <v>0</v>
      </c>
      <c r="U174" s="71" t="n">
        <f aca="false">0</f>
        <v>0</v>
      </c>
      <c r="V174" s="71" t="n">
        <f aca="false">0</f>
        <v>0</v>
      </c>
      <c r="W174" s="71" t="n">
        <f aca="false">0</f>
        <v>0</v>
      </c>
      <c r="X174" s="71" t="n">
        <f aca="false">0</f>
        <v>0</v>
      </c>
      <c r="Y174" s="71" t="n">
        <f aca="false">0</f>
        <v>0</v>
      </c>
      <c r="Z174" s="71" t="n">
        <f aca="false">0</f>
        <v>0</v>
      </c>
      <c r="AA174" s="71" t="n">
        <f aca="false">0</f>
        <v>0</v>
      </c>
      <c r="AB174" s="71" t="n">
        <f aca="false">0</f>
        <v>0</v>
      </c>
    </row>
    <row r="175" customFormat="false" ht="15" hidden="false" customHeight="false" outlineLevel="0" collapsed="false">
      <c r="A175" s="28" t="s">
        <v>712</v>
      </c>
      <c r="B175" s="58" t="s">
        <v>713</v>
      </c>
      <c r="C175" s="59" t="n">
        <f aca="false">SUM(E175:P175)</f>
        <v>392962.56</v>
      </c>
      <c r="D175" s="59" t="n">
        <f aca="false">SUM(Q175:AB175)</f>
        <v>297024</v>
      </c>
      <c r="E175" s="60" t="n">
        <f aca="false">Retainers!E56+Projects!E166+E166+E174+E167</f>
        <v>0</v>
      </c>
      <c r="F175" s="60" t="n">
        <f aca="false">Retainers!F56+Projects!F166+F166+F174+F167</f>
        <v>0</v>
      </c>
      <c r="G175" s="60" t="n">
        <f aca="false">Retainers!G56+Projects!G166+G166+G174+G167</f>
        <v>0</v>
      </c>
      <c r="H175" s="60" t="n">
        <f aca="false">Retainers!H56+Projects!H166+H166+H174+H167</f>
        <v>26000</v>
      </c>
      <c r="I175" s="60" t="n">
        <f aca="false">Retainers!I56+Projects!I166+I166+I174+I167</f>
        <v>26000</v>
      </c>
      <c r="J175" s="60" t="n">
        <f aca="false">Retainers!J56+Projects!J166+J166+J174+J167</f>
        <v>26000</v>
      </c>
      <c r="K175" s="60" t="n">
        <f aca="false">Retainers!K56+Projects!K166+K166+K174+K167</f>
        <v>26000</v>
      </c>
      <c r="L175" s="60" t="n">
        <f aca="false">Retainers!L56+Projects!L166+L166+L174+L167</f>
        <v>26000</v>
      </c>
      <c r="M175" s="60" t="n">
        <f aca="false">Retainers!M56+Projects!M166+M166+M174+M167</f>
        <v>68087.9</v>
      </c>
      <c r="N175" s="60" t="n">
        <f aca="false">Retainers!N56+Projects!N166+N166+N174+N167</f>
        <v>39393.38</v>
      </c>
      <c r="O175" s="60" t="n">
        <f aca="false">Retainers!O56+Projects!O166+O166+O174+O167</f>
        <v>87393.38</v>
      </c>
      <c r="P175" s="60" t="n">
        <f aca="false">Retainers!P56+Projects!P166+P166+P174+P167</f>
        <v>68087.9</v>
      </c>
      <c r="Q175" s="60" t="n">
        <f aca="false">Retainers!Q56+Projects!Q166+Q166+Q174+Q167</f>
        <v>26000</v>
      </c>
      <c r="R175" s="60" t="n">
        <f aca="false">Retainers!R56+Projects!R166+R166+R174+R167</f>
        <v>26000</v>
      </c>
      <c r="S175" s="60" t="n">
        <f aca="false">Retainers!S56+Projects!S166+S166+S174+S167</f>
        <v>26000</v>
      </c>
      <c r="T175" s="60" t="n">
        <f aca="false">Retainers!T56+Projects!T166+T166+T174+T167</f>
        <v>24336</v>
      </c>
      <c r="U175" s="60" t="n">
        <f aca="false">Retainers!U56+Projects!U166+U166+U174+U167</f>
        <v>24336</v>
      </c>
      <c r="V175" s="60" t="n">
        <f aca="false">Retainers!V56+Projects!V166+V166+V174+V167</f>
        <v>24336</v>
      </c>
      <c r="W175" s="60" t="n">
        <f aca="false">Retainers!W56+Projects!W166+W166+W174+W167</f>
        <v>24336</v>
      </c>
      <c r="X175" s="60" t="n">
        <f aca="false">Retainers!X56+Projects!X166+X166+X174+X167</f>
        <v>24336</v>
      </c>
      <c r="Y175" s="60" t="n">
        <f aca="false">Retainers!Y56+Projects!Y166+Y166+Y174+Y167</f>
        <v>24336</v>
      </c>
      <c r="Z175" s="60" t="n">
        <f aca="false">Retainers!Z56+Projects!Z166+Z166+Z174+Z167</f>
        <v>24336</v>
      </c>
      <c r="AA175" s="60" t="n">
        <f aca="false">Retainers!AA56+Projects!AA166+AA166+AA174+AA167</f>
        <v>24336</v>
      </c>
      <c r="AB175" s="60" t="n">
        <f aca="false">Retainers!AB56+Projects!AB166+AB166+AB174+AB167</f>
        <v>24336</v>
      </c>
    </row>
    <row r="176" customFormat="false" ht="15" hidden="false" customHeight="false" outlineLevel="0" collapsed="false">
      <c r="A176" s="28" t="s">
        <v>714</v>
      </c>
      <c r="B176" s="58" t="s">
        <v>715</v>
      </c>
      <c r="C176" s="59" t="n">
        <f aca="false">SUM(E176:P176)</f>
        <v>0</v>
      </c>
      <c r="D176" s="59" t="n">
        <f aca="false">SUM(Q176:AB176)</f>
        <v>0</v>
      </c>
      <c r="E176" s="60" t="n">
        <f aca="false">E175*Client_Register!$F$14</f>
        <v>0</v>
      </c>
      <c r="F176" s="60" t="n">
        <f aca="false">F175*Client_Register!$F$14</f>
        <v>0</v>
      </c>
      <c r="G176" s="60" t="n">
        <f aca="false">G175*Client_Register!$F$14</f>
        <v>0</v>
      </c>
      <c r="H176" s="60" t="n">
        <f aca="false">H175*Client_Register!$F$14</f>
        <v>0</v>
      </c>
      <c r="I176" s="60" t="n">
        <f aca="false">I175*Client_Register!$F$14</f>
        <v>0</v>
      </c>
      <c r="J176" s="60" t="n">
        <f aca="false">J175*Client_Register!$F$14</f>
        <v>0</v>
      </c>
      <c r="K176" s="60" t="n">
        <f aca="false">K175*Client_Register!$F$14</f>
        <v>0</v>
      </c>
      <c r="L176" s="60" t="n">
        <f aca="false">L175*Client_Register!$F$14</f>
        <v>0</v>
      </c>
      <c r="M176" s="60" t="n">
        <f aca="false">M175*Client_Register!$F$14</f>
        <v>0</v>
      </c>
      <c r="N176" s="60" t="n">
        <f aca="false">N175*Client_Register!$F$14</f>
        <v>0</v>
      </c>
      <c r="O176" s="60" t="n">
        <f aca="false">O175*Client_Register!$F$14</f>
        <v>0</v>
      </c>
      <c r="P176" s="60" t="n">
        <f aca="false">P175*Client_Register!$F$14</f>
        <v>0</v>
      </c>
      <c r="Q176" s="60" t="n">
        <f aca="false">Q175*Client_Register!$F$14</f>
        <v>0</v>
      </c>
      <c r="R176" s="60" t="n">
        <f aca="false">R175*Client_Register!$F$14</f>
        <v>0</v>
      </c>
      <c r="S176" s="60" t="n">
        <f aca="false">S175*Client_Register!$F$14</f>
        <v>0</v>
      </c>
      <c r="T176" s="60" t="n">
        <f aca="false">T175*Client_Register!$F$14</f>
        <v>0</v>
      </c>
      <c r="U176" s="60" t="n">
        <f aca="false">U175*Client_Register!$F$14</f>
        <v>0</v>
      </c>
      <c r="V176" s="60" t="n">
        <f aca="false">V175*Client_Register!$F$14</f>
        <v>0</v>
      </c>
      <c r="W176" s="60" t="n">
        <f aca="false">W175*Client_Register!$F$14</f>
        <v>0</v>
      </c>
      <c r="X176" s="60" t="n">
        <f aca="false">X175*Client_Register!$F$14</f>
        <v>0</v>
      </c>
      <c r="Y176" s="60" t="n">
        <f aca="false">Y175*Client_Register!$F$14</f>
        <v>0</v>
      </c>
      <c r="Z176" s="60" t="n">
        <f aca="false">Z175*Client_Register!$F$14</f>
        <v>0</v>
      </c>
      <c r="AA176" s="60" t="n">
        <f aca="false">AA175*Client_Register!$F$14</f>
        <v>0</v>
      </c>
      <c r="AB176" s="60" t="n">
        <f aca="false">AB175*Client_Register!$F$14</f>
        <v>0</v>
      </c>
    </row>
    <row r="177" customFormat="false" ht="15" hidden="false" customHeight="false" outlineLevel="0" collapsed="false">
      <c r="A177" s="68" t="s">
        <v>716</v>
      </c>
      <c r="B177" s="69"/>
      <c r="C177" s="70" t="n">
        <f aca="false">SUM(E177:P177)</f>
        <v>392962.56</v>
      </c>
      <c r="D177" s="70" t="n">
        <f aca="false">SUM(Q177:AB177)</f>
        <v>297024</v>
      </c>
      <c r="E177" s="70" t="n">
        <f aca="false">E175+E176</f>
        <v>0</v>
      </c>
      <c r="F177" s="70" t="n">
        <f aca="false">F175+F176</f>
        <v>0</v>
      </c>
      <c r="G177" s="70" t="n">
        <f aca="false">G175+G176</f>
        <v>0</v>
      </c>
      <c r="H177" s="70" t="n">
        <f aca="false">H175+H176</f>
        <v>26000</v>
      </c>
      <c r="I177" s="70" t="n">
        <f aca="false">I175+I176</f>
        <v>26000</v>
      </c>
      <c r="J177" s="70" t="n">
        <f aca="false">J175+J176</f>
        <v>26000</v>
      </c>
      <c r="K177" s="70" t="n">
        <f aca="false">K175+K176</f>
        <v>26000</v>
      </c>
      <c r="L177" s="70" t="n">
        <f aca="false">L175+L176</f>
        <v>26000</v>
      </c>
      <c r="M177" s="70" t="n">
        <f aca="false">M175+M176</f>
        <v>68087.9</v>
      </c>
      <c r="N177" s="70" t="n">
        <f aca="false">N175+N176</f>
        <v>39393.38</v>
      </c>
      <c r="O177" s="70" t="n">
        <f aca="false">O175+O176</f>
        <v>87393.38</v>
      </c>
      <c r="P177" s="70" t="n">
        <f aca="false">P175+P176</f>
        <v>68087.9</v>
      </c>
      <c r="Q177" s="70" t="n">
        <f aca="false">Q175+Q176</f>
        <v>26000</v>
      </c>
      <c r="R177" s="70" t="n">
        <f aca="false">R175+R176</f>
        <v>26000</v>
      </c>
      <c r="S177" s="70" t="n">
        <f aca="false">S175+S176</f>
        <v>26000</v>
      </c>
      <c r="T177" s="70" t="n">
        <f aca="false">T175+T176</f>
        <v>24336</v>
      </c>
      <c r="U177" s="70" t="n">
        <f aca="false">U175+U176</f>
        <v>24336</v>
      </c>
      <c r="V177" s="70" t="n">
        <f aca="false">V175+V176</f>
        <v>24336</v>
      </c>
      <c r="W177" s="70" t="n">
        <f aca="false">W175+W176</f>
        <v>24336</v>
      </c>
      <c r="X177" s="70" t="n">
        <f aca="false">X175+X176</f>
        <v>24336</v>
      </c>
      <c r="Y177" s="70" t="n">
        <f aca="false">Y175+Y176</f>
        <v>24336</v>
      </c>
      <c r="Z177" s="70" t="n">
        <f aca="false">Z175+Z176</f>
        <v>24336</v>
      </c>
      <c r="AA177" s="70" t="n">
        <f aca="false">AA175+AA176</f>
        <v>24336</v>
      </c>
      <c r="AB177" s="70" t="n">
        <f aca="false">AB175+AB176</f>
        <v>24336</v>
      </c>
    </row>
    <row r="178" customFormat="false" ht="15" hidden="false" customHeight="false" outlineLevel="0" collapsed="false">
      <c r="A178" s="28" t="s">
        <v>717</v>
      </c>
      <c r="B178" s="58" t="s">
        <v>718</v>
      </c>
      <c r="C178" s="59" t="n">
        <f aca="false">SUM(E178:P178)</f>
        <v>281177.97</v>
      </c>
      <c r="D178" s="59" t="n">
        <f aca="false">SUM(Q178:AB178)</f>
        <v>372304.59</v>
      </c>
      <c r="E178" s="60" t="n">
        <f aca="false">IF(E$5="A",Inputs_Actuals!E120,Client_Register!$T$14+E177-(E177*MIN(1,Client_Register!$J$14/30)+0*MIN(1,MAX(0,(Client_Register!$J$14-30)/30))+0*MIN(1,MAX(0,(Client_Register!$J$14-60)/30))))</f>
        <v>0</v>
      </c>
      <c r="F178" s="60" t="n">
        <f aca="false">IF(F$5="A",Inputs_Actuals!F120,E179+F177-(F177*MIN(1,Client_Register!$J$14/30)+E177*MIN(1,MAX(0,(Client_Register!$J$14-30)/30))+0*MIN(1,MAX(0,(Client_Register!$J$14-60)/30))))</f>
        <v>0</v>
      </c>
      <c r="G178" s="60" t="n">
        <f aca="false">IF(G$5="A",Inputs_Actuals!G120,F179+G177-(G177*MIN(1,Client_Register!$J$14/30)+F177*MIN(1,MAX(0,(Client_Register!$J$14-30)/30))+E177*MIN(1,MAX(0,(Client_Register!$J$14-60)/30))))</f>
        <v>0</v>
      </c>
      <c r="H178" s="60" t="n">
        <f aca="false">IF(H$5="A",Inputs_Actuals!H120,G179+H177-(H177*MIN(1,Client_Register!$J$14/30)+G177*MIN(1,MAX(0,(Client_Register!$J$14-30)/30))+F177*MIN(1,MAX(0,(Client_Register!$J$14-60)/30))))</f>
        <v>-6422.24</v>
      </c>
      <c r="I178" s="60" t="n">
        <f aca="false">IF(I$5="A",Inputs_Actuals!I120,H179+I177-(I177*MIN(1,Client_Register!$J$14/30)+H177*MIN(1,MAX(0,(Client_Register!$J$14-30)/30))+G177*MIN(1,MAX(0,(Client_Register!$J$14-60)/30))))</f>
        <v>21362.46</v>
      </c>
      <c r="J178" s="60" t="n">
        <f aca="false">IF(J$5="A",Inputs_Actuals!J120,I179+J177-(J177*MIN(1,Client_Register!$J$14/30)+I177*MIN(1,MAX(0,(Client_Register!$J$14-30)/30))+H177*MIN(1,MAX(0,(Client_Register!$J$14-60)/30))))</f>
        <v>22766.7</v>
      </c>
      <c r="K178" s="60" t="n">
        <f aca="false">IF(K$5="A",Inputs_Actuals!K120,J179+K177-(K177*MIN(1,Client_Register!$J$14/30)+J177*MIN(1,MAX(0,(Client_Register!$J$14-30)/30))+I177*MIN(1,MAX(0,(Client_Register!$J$14-60)/30))))</f>
        <v>25566.49</v>
      </c>
      <c r="L178" s="60" t="n">
        <f aca="false">IF(L$5="A",Inputs_Actuals!L120,K179+L177-(L177*MIN(1,Client_Register!$J$14/30)+K177*MIN(1,MAX(0,(Client_Register!$J$14-30)/30))+J177*MIN(1,MAX(0,(Client_Register!$J$14-60)/30))))</f>
        <v>29807.61</v>
      </c>
      <c r="M178" s="60" t="n">
        <f aca="false">IF(M$5="A",Inputs_Actuals!M120,L179+M177-(M177*MIN(1,Client_Register!$J$14/30)+L177*MIN(1,MAX(0,(Client_Register!$J$14-30)/30))+K177*MIN(1,MAX(0,(Client_Register!$J$14-60)/30))))</f>
        <v>23918.98</v>
      </c>
      <c r="N178" s="60" t="n">
        <f aca="false">IF(N$5="A",Inputs_Actuals!N120,M179+N177-(N177*MIN(1,Client_Register!$J$14/30)+M177*MIN(1,MAX(0,(Client_Register!$J$14-30)/30))+L177*MIN(1,MAX(0,(Client_Register!$J$14-60)/30))))</f>
        <v>47043.95</v>
      </c>
      <c r="O178" s="60" t="n">
        <f aca="false">IF(O$5="A",Inputs_Actuals!O120,N179+O177-(O177*MIN(1,Client_Register!$J$14/30)+N177*MIN(1,MAX(0,(Client_Register!$J$14-30)/30))+M177*MIN(1,MAX(0,(Client_Register!$J$14-60)/30))))</f>
        <v>53740.64</v>
      </c>
      <c r="P178" s="60" t="n">
        <f aca="false">IF(P$5="A",Inputs_Actuals!P120,O179+P177-(P177*MIN(1,Client_Register!$J$14/30)+O177*MIN(1,MAX(0,(Client_Register!$J$14-30)/30))+N177*MIN(1,MAX(0,(Client_Register!$J$14-60)/30))))</f>
        <v>63393.38</v>
      </c>
      <c r="Q178" s="60" t="n">
        <f aca="false">IF(Q$5="A",Inputs_Actuals!Q120,P179+Q177-(Q177*MIN(1,Client_Register!$J$14/30)+P177*MIN(1,MAX(0,(Client_Register!$J$14-30)/30))+O177*MIN(1,MAX(0,(Client_Register!$J$14-60)/30))))</f>
        <v>77740.64</v>
      </c>
      <c r="R178" s="60" t="n">
        <f aca="false">IF(R$5="A",Inputs_Actuals!R120,Q179+R177-(R177*MIN(1,Client_Register!$J$14/30)+Q177*MIN(1,MAX(0,(Client_Register!$J$14-30)/30))+P177*MIN(1,MAX(0,(Client_Register!$J$14-60)/30))))</f>
        <v>47043.95</v>
      </c>
      <c r="S178" s="60" t="n">
        <f aca="false">IF(S$5="A",Inputs_Actuals!S120,R179+S177-(S177*MIN(1,Client_Register!$J$14/30)+R177*MIN(1,MAX(0,(Client_Register!$J$14-30)/30))+Q177*MIN(1,MAX(0,(Client_Register!$J$14-60)/30))))</f>
        <v>26000</v>
      </c>
      <c r="T178" s="60" t="n">
        <f aca="false">IF(T$5="A",Inputs_Actuals!T120,S179+T177-(T177*MIN(1,Client_Register!$J$14/30)+S177*MIN(1,MAX(0,(Client_Register!$J$14-30)/30))+R177*MIN(1,MAX(0,(Client_Register!$J$14-60)/30))))</f>
        <v>26000</v>
      </c>
      <c r="U178" s="60" t="n">
        <f aca="false">IF(U$5="A",Inputs_Actuals!U120,T179+U177-(U177*MIN(1,Client_Register!$J$14/30)+T177*MIN(1,MAX(0,(Client_Register!$J$14-30)/30))+S177*MIN(1,MAX(0,(Client_Register!$J$14-60)/30))))</f>
        <v>25168</v>
      </c>
      <c r="V178" s="60" t="n">
        <f aca="false">IF(V$5="A",Inputs_Actuals!V120,U179+V177-(V177*MIN(1,Client_Register!$J$14/30)+U177*MIN(1,MAX(0,(Client_Register!$J$14-30)/30))+T177*MIN(1,MAX(0,(Client_Register!$J$14-60)/30))))</f>
        <v>24336</v>
      </c>
      <c r="W178" s="60" t="n">
        <f aca="false">IF(W$5="A",Inputs_Actuals!W120,V179+W177-(W177*MIN(1,Client_Register!$J$14/30)+V177*MIN(1,MAX(0,(Client_Register!$J$14-30)/30))+U177*MIN(1,MAX(0,(Client_Register!$J$14-60)/30))))</f>
        <v>24336</v>
      </c>
      <c r="X178" s="60" t="n">
        <f aca="false">IF(X$5="A",Inputs_Actuals!X120,W179+X177-(X177*MIN(1,Client_Register!$J$14/30)+W177*MIN(1,MAX(0,(Client_Register!$J$14-30)/30))+V177*MIN(1,MAX(0,(Client_Register!$J$14-60)/30))))</f>
        <v>24336</v>
      </c>
      <c r="Y178" s="60" t="n">
        <f aca="false">IF(Y$5="A",Inputs_Actuals!Y120,X179+Y177-(Y177*MIN(1,Client_Register!$J$14/30)+X177*MIN(1,MAX(0,(Client_Register!$J$14-30)/30))+W177*MIN(1,MAX(0,(Client_Register!$J$14-60)/30))))</f>
        <v>24336</v>
      </c>
      <c r="Z178" s="60" t="n">
        <f aca="false">IF(Z$5="A",Inputs_Actuals!Z120,Y179+Z177-(Z177*MIN(1,Client_Register!$J$14/30)+Y177*MIN(1,MAX(0,(Client_Register!$J$14-30)/30))+X177*MIN(1,MAX(0,(Client_Register!$J$14-60)/30))))</f>
        <v>24336</v>
      </c>
      <c r="AA178" s="60" t="n">
        <f aca="false">IF(AA$5="A",Inputs_Actuals!AA120,Z179+AA177-(AA177*MIN(1,Client_Register!$J$14/30)+Z177*MIN(1,MAX(0,(Client_Register!$J$14-30)/30))+Y177*MIN(1,MAX(0,(Client_Register!$J$14-60)/30))))</f>
        <v>24336</v>
      </c>
      <c r="AB178" s="60" t="n">
        <f aca="false">IF(AB$5="A",Inputs_Actuals!AB120,AA179+AB177-(AB177*MIN(1,Client_Register!$J$14/30)+AA177*MIN(1,MAX(0,(Client_Register!$J$14-30)/30))+Z177*MIN(1,MAX(0,(Client_Register!$J$14-60)/30))))</f>
        <v>24336</v>
      </c>
    </row>
    <row r="179" customFormat="false" ht="15" hidden="false" customHeight="false" outlineLevel="0" collapsed="false">
      <c r="A179" s="68" t="s">
        <v>719</v>
      </c>
      <c r="B179" s="69" t="s">
        <v>720</v>
      </c>
      <c r="C179" s="70" t="n">
        <f aca="false">P179</f>
        <v>111784.59</v>
      </c>
      <c r="D179" s="70" t="n">
        <f aca="false">AB179</f>
        <v>36504</v>
      </c>
      <c r="E179" s="74" t="n">
        <f aca="false">Client_Register!$T$14+E177-E178</f>
        <v>0</v>
      </c>
      <c r="F179" s="70" t="n">
        <f aca="false">E179+F177-F178</f>
        <v>0</v>
      </c>
      <c r="G179" s="70" t="n">
        <f aca="false">F179+G177-G178</f>
        <v>0</v>
      </c>
      <c r="H179" s="70" t="n">
        <f aca="false">G179+H177-H178</f>
        <v>32422.24</v>
      </c>
      <c r="I179" s="70" t="n">
        <f aca="false">H179+I177-I178</f>
        <v>37059.78</v>
      </c>
      <c r="J179" s="70" t="n">
        <f aca="false">I179+J177-J178</f>
        <v>40293.08</v>
      </c>
      <c r="K179" s="70" t="n">
        <f aca="false">J179+K177-K178</f>
        <v>40726.59</v>
      </c>
      <c r="L179" s="70" t="n">
        <f aca="false">K179+L177-L178</f>
        <v>36918.98</v>
      </c>
      <c r="M179" s="70" t="n">
        <f aca="false">L179+M177-M178</f>
        <v>81087.9</v>
      </c>
      <c r="N179" s="70" t="n">
        <f aca="false">M179+N177-N178</f>
        <v>73437.33</v>
      </c>
      <c r="O179" s="70" t="n">
        <f aca="false">N179+O177-O178</f>
        <v>107090.07</v>
      </c>
      <c r="P179" s="70" t="n">
        <f aca="false">O179+P177-P178</f>
        <v>111784.59</v>
      </c>
      <c r="Q179" s="70" t="n">
        <f aca="false">P179+Q177-Q178</f>
        <v>60043.95</v>
      </c>
      <c r="R179" s="70" t="n">
        <f aca="false">Q179+R177-R178</f>
        <v>39000</v>
      </c>
      <c r="S179" s="70" t="n">
        <f aca="false">R179+S177-S178</f>
        <v>39000</v>
      </c>
      <c r="T179" s="70" t="n">
        <f aca="false">S179+T177-T178</f>
        <v>37336</v>
      </c>
      <c r="U179" s="70" t="n">
        <f aca="false">T179+U177-U178</f>
        <v>36504</v>
      </c>
      <c r="V179" s="70" t="n">
        <f aca="false">U179+V177-V178</f>
        <v>36504</v>
      </c>
      <c r="W179" s="70" t="n">
        <f aca="false">V179+W177-W178</f>
        <v>36504</v>
      </c>
      <c r="X179" s="70" t="n">
        <f aca="false">W179+X177-X178</f>
        <v>36504</v>
      </c>
      <c r="Y179" s="70" t="n">
        <f aca="false">X179+Y177-Y178</f>
        <v>36504</v>
      </c>
      <c r="Z179" s="70" t="n">
        <f aca="false">Y179+Z177-Z178</f>
        <v>36504</v>
      </c>
      <c r="AA179" s="70" t="n">
        <f aca="false">Z179+AA177-AA178</f>
        <v>36504</v>
      </c>
      <c r="AB179" s="70" t="n">
        <f aca="false">AA179+AB177-AB178</f>
        <v>36504</v>
      </c>
    </row>
    <row r="180" customFormat="false" ht="15" hidden="false" customHeight="false" outlineLevel="0" collapsed="false">
      <c r="A180" s="28" t="s">
        <v>721</v>
      </c>
      <c r="B180" s="58" t="s">
        <v>722</v>
      </c>
      <c r="C180" s="59" t="n">
        <f aca="false">P180</f>
        <v>0</v>
      </c>
      <c r="D180" s="59" t="n">
        <f aca="false">AB180</f>
        <v>0</v>
      </c>
      <c r="E180" s="60" t="n">
        <f aca="false">Client_Register!$U$14+E168-(E175-E174)</f>
        <v>0</v>
      </c>
      <c r="F180" s="71" t="n">
        <f aca="false">E180+F168-(F175-F174)</f>
        <v>0</v>
      </c>
      <c r="G180" s="71" t="n">
        <f aca="false">F180+G168-(G175-G174)</f>
        <v>0</v>
      </c>
      <c r="H180" s="71" t="n">
        <f aca="false">G180+H168-(H175-H174)</f>
        <v>0</v>
      </c>
      <c r="I180" s="71" t="n">
        <f aca="false">H180+I168-(I175-I174)</f>
        <v>0</v>
      </c>
      <c r="J180" s="71" t="n">
        <f aca="false">I180+J168-(J175-J174)</f>
        <v>0</v>
      </c>
      <c r="K180" s="71" t="n">
        <f aca="false">J180+K168-(K175-K174)</f>
        <v>0</v>
      </c>
      <c r="L180" s="71" t="n">
        <f aca="false">K180+L168-(L175-L174)</f>
        <v>0</v>
      </c>
      <c r="M180" s="71" t="n">
        <f aca="false">L180+M168-(M175-M174)</f>
        <v>-17250</v>
      </c>
      <c r="N180" s="71" t="n">
        <f aca="false">M180+N168-(N175-N174)</f>
        <v>24000</v>
      </c>
      <c r="O180" s="71" t="n">
        <f aca="false">N180+O168-(O175-O174)</f>
        <v>17250</v>
      </c>
      <c r="P180" s="71" t="n">
        <f aca="false">O180+P168-(P175-P174)</f>
        <v>0</v>
      </c>
      <c r="Q180" s="71" t="n">
        <f aca="false">P180+Q168-(Q175-Q174)</f>
        <v>0</v>
      </c>
      <c r="R180" s="71" t="n">
        <f aca="false">Q180+R168-(R175-R174)</f>
        <v>0</v>
      </c>
      <c r="S180" s="71" t="n">
        <f aca="false">R180+S168-(S175-S174)</f>
        <v>0</v>
      </c>
      <c r="T180" s="71" t="n">
        <f aca="false">S180+T168-(T175-T174)</f>
        <v>0</v>
      </c>
      <c r="U180" s="71" t="n">
        <f aca="false">T180+U168-(U175-U174)</f>
        <v>0</v>
      </c>
      <c r="V180" s="71" t="n">
        <f aca="false">U180+V168-(V175-V174)</f>
        <v>0</v>
      </c>
      <c r="W180" s="71" t="n">
        <f aca="false">V180+W168-(W175-W174)</f>
        <v>0</v>
      </c>
      <c r="X180" s="71" t="n">
        <f aca="false">W180+X168-(X175-X174)</f>
        <v>0</v>
      </c>
      <c r="Y180" s="71" t="n">
        <f aca="false">X180+Y168-(Y175-Y174)</f>
        <v>0</v>
      </c>
      <c r="Z180" s="71" t="n">
        <f aca="false">Y180+Z168-(Z175-Z174)</f>
        <v>0</v>
      </c>
      <c r="AA180" s="71" t="n">
        <f aca="false">Z180+AA168-(AA175-AA174)</f>
        <v>0</v>
      </c>
      <c r="AB180" s="71" t="n">
        <f aca="false">AA180+AB168-(AB175-AB174)</f>
        <v>0</v>
      </c>
    </row>
    <row r="181" customFormat="false" ht="15" hidden="false" customHeight="false" outlineLevel="0" collapsed="false">
      <c r="A181" s="28" t="s">
        <v>723</v>
      </c>
      <c r="B181" s="58"/>
      <c r="C181" s="59" t="n">
        <f aca="false">P181</f>
        <v>96399.2669886168</v>
      </c>
      <c r="D181" s="59" t="n">
        <f aca="false">AB181</f>
        <v>31479.8206278027</v>
      </c>
      <c r="E181" s="60" t="n">
        <f aca="false">E179/FX!E12</f>
        <v>0</v>
      </c>
      <c r="F181" s="60" t="n">
        <f aca="false">F179/FX!F12</f>
        <v>0</v>
      </c>
      <c r="G181" s="60" t="n">
        <f aca="false">G179/FX!G12</f>
        <v>0</v>
      </c>
      <c r="H181" s="60" t="n">
        <f aca="false">H179/FX!H12</f>
        <v>27706.5800717826</v>
      </c>
      <c r="I181" s="60" t="n">
        <f aca="false">I179/FX!I12</f>
        <v>31827.3617313638</v>
      </c>
      <c r="J181" s="60" t="n">
        <f aca="false">J179/FX!J12</f>
        <v>35363.4193435141</v>
      </c>
      <c r="K181" s="60" t="n">
        <f aca="false">K179/FX!K12</f>
        <v>35460.6791467131</v>
      </c>
      <c r="L181" s="60" t="n">
        <f aca="false">L179/FX!L12</f>
        <v>31837.6854087616</v>
      </c>
      <c r="M181" s="60" t="n">
        <f aca="false">M179/FX!M12</f>
        <v>69927.4749913763</v>
      </c>
      <c r="N181" s="60" t="n">
        <f aca="false">N179/FX!N12</f>
        <v>63329.880993446</v>
      </c>
      <c r="O181" s="60" t="n">
        <f aca="false">O179/FX!O12</f>
        <v>92350.8709899966</v>
      </c>
      <c r="P181" s="60" t="n">
        <f aca="false">P179/FX!P12</f>
        <v>96399.2669886168</v>
      </c>
      <c r="Q181" s="60" t="n">
        <f aca="false">Q179/FX!Q12</f>
        <v>51779.880993446</v>
      </c>
      <c r="R181" s="60" t="n">
        <f aca="false">R179/FX!R12</f>
        <v>33632.2869955157</v>
      </c>
      <c r="S181" s="60" t="n">
        <f aca="false">S179/FX!S12</f>
        <v>33632.2869955157</v>
      </c>
      <c r="T181" s="60" t="n">
        <f aca="false">T179/FX!T12</f>
        <v>32197.3094170404</v>
      </c>
      <c r="U181" s="60" t="n">
        <f aca="false">U179/FX!U12</f>
        <v>31479.8206278027</v>
      </c>
      <c r="V181" s="60" t="n">
        <f aca="false">V179/FX!V12</f>
        <v>31479.8206278027</v>
      </c>
      <c r="W181" s="60" t="n">
        <f aca="false">W179/FX!W12</f>
        <v>31479.8206278027</v>
      </c>
      <c r="X181" s="60" t="n">
        <f aca="false">X179/FX!X12</f>
        <v>31479.8206278027</v>
      </c>
      <c r="Y181" s="60" t="n">
        <f aca="false">Y179/FX!Y12</f>
        <v>31479.8206278027</v>
      </c>
      <c r="Z181" s="60" t="n">
        <f aca="false">Z179/FX!Z12</f>
        <v>31479.8206278027</v>
      </c>
      <c r="AA181" s="60" t="n">
        <f aca="false">AA179/FX!AA12</f>
        <v>31479.8206278027</v>
      </c>
      <c r="AB181" s="60" t="n">
        <f aca="false">AB179/FX!AB12</f>
        <v>31479.8206278027</v>
      </c>
    </row>
    <row r="182" customFormat="false" ht="15" hidden="false" customHeight="false" outlineLevel="0" collapsed="false">
      <c r="A182" s="28" t="s">
        <v>724</v>
      </c>
      <c r="B182" s="58"/>
      <c r="C182" s="66" t="n">
        <f aca="false">P182</f>
        <v>52.3144189603718</v>
      </c>
      <c r="D182" s="66" t="n">
        <f aca="false">AB182</f>
        <v>45.6</v>
      </c>
      <c r="E182" s="72" t="n">
        <f aca="false">IFERROR(E179/AVERAGE(E177:E177)*30.4,0)</f>
        <v>0</v>
      </c>
      <c r="F182" s="72" t="n">
        <f aca="false">IFERROR(F179/AVERAGE(E177:F177)*30.4,0)</f>
        <v>0</v>
      </c>
      <c r="G182" s="72" t="n">
        <f aca="false">IFERROR(G179/AVERAGE(E177:G177)*30.4,0)</f>
        <v>0</v>
      </c>
      <c r="H182" s="72" t="n">
        <f aca="false">IFERROR(H179/AVERAGE(F177:H177)*30.4,0)</f>
        <v>113.727241846154</v>
      </c>
      <c r="I182" s="72" t="n">
        <f aca="false">IFERROR(I179/AVERAGE(G177:I177)*30.4,0)</f>
        <v>64.9971526153846</v>
      </c>
      <c r="J182" s="72" t="n">
        <f aca="false">IFERROR(J179/AVERAGE(H177:J177)*30.4,0)</f>
        <v>47.1119089230769</v>
      </c>
      <c r="K182" s="72" t="n">
        <f aca="false">IFERROR(K179/AVERAGE(I177:K177)*30.4,0)</f>
        <v>47.6187821538462</v>
      </c>
      <c r="L182" s="72" t="n">
        <f aca="false">IFERROR(L179/AVERAGE(J177:L177)*30.4,0)</f>
        <v>43.1668073846154</v>
      </c>
      <c r="M182" s="72" t="n">
        <f aca="false">IFERROR(M179/AVERAGE(K177:M177)*30.4,0)</f>
        <v>61.5816954081136</v>
      </c>
      <c r="N182" s="72" t="n">
        <f aca="false">IFERROR(N179/AVERAGE(L177:N177)*30.4,0)</f>
        <v>50.1754590306596</v>
      </c>
      <c r="O182" s="72" t="n">
        <f aca="false">IFERROR(O179/AVERAGE(M177:O177)*30.4,0)</f>
        <v>50.1174159020983</v>
      </c>
      <c r="P182" s="72" t="n">
        <f aca="false">IFERROR(P179/AVERAGE(N177:P177)*30.4,0)</f>
        <v>52.3144189603718</v>
      </c>
      <c r="Q182" s="72" t="n">
        <f aca="false">IFERROR(Q179/AVERAGE(O177:Q177)*30.4,0)</f>
        <v>30.1739564543517</v>
      </c>
      <c r="R182" s="72" t="n">
        <f aca="false">IFERROR(R179/AVERAGE(P177:R177)*30.4,0)</f>
        <v>29.6183045918864</v>
      </c>
      <c r="S182" s="72" t="n">
        <f aca="false">IFERROR(S179/AVERAGE(Q177:S177)*30.4,0)</f>
        <v>45.6</v>
      </c>
      <c r="T182" s="72" t="n">
        <f aca="false">IFERROR(T179/AVERAGE(R177:T177)*30.4,0)</f>
        <v>44.6059945504087</v>
      </c>
      <c r="U182" s="72" t="n">
        <f aca="false">IFERROR(U179/AVERAGE(S177:U177)*30.4,0)</f>
        <v>44.5838440111421</v>
      </c>
      <c r="V182" s="72" t="n">
        <f aca="false">IFERROR(V179/AVERAGE(T177:V177)*30.4,0)</f>
        <v>45.6</v>
      </c>
      <c r="W182" s="72" t="n">
        <f aca="false">IFERROR(W179/AVERAGE(U177:W177)*30.4,0)</f>
        <v>45.6</v>
      </c>
      <c r="X182" s="72" t="n">
        <f aca="false">IFERROR(X179/AVERAGE(V177:X177)*30.4,0)</f>
        <v>45.6</v>
      </c>
      <c r="Y182" s="72" t="n">
        <f aca="false">IFERROR(Y179/AVERAGE(W177:Y177)*30.4,0)</f>
        <v>45.6</v>
      </c>
      <c r="Z182" s="72" t="n">
        <f aca="false">IFERROR(Z179/AVERAGE(X177:Z177)*30.4,0)</f>
        <v>45.6</v>
      </c>
      <c r="AA182" s="72" t="n">
        <f aca="false">IFERROR(AA179/AVERAGE(Y177:AA177)*30.4,0)</f>
        <v>45.6</v>
      </c>
      <c r="AB182" s="72" t="n">
        <f aca="false">IFERROR(AB179/AVERAGE(Z177:AB177)*30.4,0)</f>
        <v>45.6</v>
      </c>
    </row>
    <row r="184" customFormat="false" ht="15" hidden="false" customHeight="false" outlineLevel="0" collapsed="false">
      <c r="A184" s="22" t="s">
        <v>733</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row>
    <row r="185" customFormat="false" ht="15" hidden="false" customHeight="false" outlineLevel="0" collapsed="false">
      <c r="A185" s="28" t="s">
        <v>331</v>
      </c>
      <c r="B185" s="58" t="s">
        <v>49</v>
      </c>
      <c r="C185" s="59" t="n">
        <f aca="false">SUM(E185:P185)</f>
        <v>132000</v>
      </c>
      <c r="D185" s="59" t="n">
        <f aca="false">SUM(Q185:AB185)</f>
        <v>127776</v>
      </c>
      <c r="E185" s="60" t="n">
        <f aca="false">Retainers!E60</f>
        <v>11000</v>
      </c>
      <c r="F185" s="60" t="n">
        <f aca="false">Retainers!F60</f>
        <v>11000</v>
      </c>
      <c r="G185" s="60" t="n">
        <f aca="false">Retainers!G60</f>
        <v>11000</v>
      </c>
      <c r="H185" s="60" t="n">
        <f aca="false">Retainers!H60</f>
        <v>11000</v>
      </c>
      <c r="I185" s="60" t="n">
        <f aca="false">Retainers!I60</f>
        <v>11000</v>
      </c>
      <c r="J185" s="60" t="n">
        <f aca="false">Retainers!J60</f>
        <v>11000</v>
      </c>
      <c r="K185" s="60" t="n">
        <f aca="false">Retainers!K60</f>
        <v>11000</v>
      </c>
      <c r="L185" s="60" t="n">
        <f aca="false">Retainers!L60</f>
        <v>11000</v>
      </c>
      <c r="M185" s="60" t="n">
        <f aca="false">Retainers!M60</f>
        <v>11000</v>
      </c>
      <c r="N185" s="60" t="n">
        <f aca="false">Retainers!N60</f>
        <v>11000</v>
      </c>
      <c r="O185" s="60" t="n">
        <f aca="false">Retainers!O60</f>
        <v>11000</v>
      </c>
      <c r="P185" s="60" t="n">
        <f aca="false">Retainers!P60</f>
        <v>11000</v>
      </c>
      <c r="Q185" s="60" t="n">
        <f aca="false">Retainers!Q60</f>
        <v>11000</v>
      </c>
      <c r="R185" s="60" t="n">
        <f aca="false">Retainers!R60</f>
        <v>11000</v>
      </c>
      <c r="S185" s="60" t="n">
        <f aca="false">Retainers!S60</f>
        <v>11000</v>
      </c>
      <c r="T185" s="60" t="n">
        <f aca="false">Retainers!T60</f>
        <v>11000</v>
      </c>
      <c r="U185" s="60" t="n">
        <f aca="false">Retainers!U60</f>
        <v>11000</v>
      </c>
      <c r="V185" s="60" t="n">
        <f aca="false">Retainers!V60</f>
        <v>11000</v>
      </c>
      <c r="W185" s="60" t="n">
        <f aca="false">Retainers!W60</f>
        <v>10296</v>
      </c>
      <c r="X185" s="60" t="n">
        <f aca="false">Retainers!X60</f>
        <v>10296</v>
      </c>
      <c r="Y185" s="60" t="n">
        <f aca="false">Retainers!Y60</f>
        <v>10296</v>
      </c>
      <c r="Z185" s="60" t="n">
        <f aca="false">Retainers!Z60</f>
        <v>10296</v>
      </c>
      <c r="AA185" s="60" t="n">
        <f aca="false">Retainers!AA60</f>
        <v>10296</v>
      </c>
      <c r="AB185" s="60" t="n">
        <f aca="false">Retainers!AB60</f>
        <v>10296</v>
      </c>
    </row>
    <row r="186" customFormat="false" ht="15" hidden="false" customHeight="false" outlineLevel="0" collapsed="false">
      <c r="A186" s="28" t="s">
        <v>700</v>
      </c>
      <c r="B186" s="58" t="s">
        <v>51</v>
      </c>
      <c r="C186" s="59" t="n">
        <f aca="false">SUM(E186:P186)</f>
        <v>0</v>
      </c>
      <c r="D186" s="59" t="n">
        <f aca="false">SUM(Q186:AB186)</f>
        <v>0</v>
      </c>
      <c r="E186" s="71" t="n">
        <f aca="false">0</f>
        <v>0</v>
      </c>
      <c r="F186" s="71" t="n">
        <f aca="false">0</f>
        <v>0</v>
      </c>
      <c r="G186" s="71" t="n">
        <f aca="false">0</f>
        <v>0</v>
      </c>
      <c r="H186" s="71" t="n">
        <f aca="false">0</f>
        <v>0</v>
      </c>
      <c r="I186" s="71" t="n">
        <f aca="false">0</f>
        <v>0</v>
      </c>
      <c r="J186" s="71" t="n">
        <f aca="false">0</f>
        <v>0</v>
      </c>
      <c r="K186" s="71" t="n">
        <f aca="false">0</f>
        <v>0</v>
      </c>
      <c r="L186" s="71" t="n">
        <f aca="false">0</f>
        <v>0</v>
      </c>
      <c r="M186" s="71" t="n">
        <f aca="false">0</f>
        <v>0</v>
      </c>
      <c r="N186" s="71" t="n">
        <f aca="false">0</f>
        <v>0</v>
      </c>
      <c r="O186" s="71" t="n">
        <f aca="false">0</f>
        <v>0</v>
      </c>
      <c r="P186" s="71" t="n">
        <f aca="false">0</f>
        <v>0</v>
      </c>
      <c r="Q186" s="71" t="n">
        <f aca="false">0</f>
        <v>0</v>
      </c>
      <c r="R186" s="71" t="n">
        <f aca="false">0</f>
        <v>0</v>
      </c>
      <c r="S186" s="71" t="n">
        <f aca="false">0</f>
        <v>0</v>
      </c>
      <c r="T186" s="71" t="n">
        <f aca="false">0</f>
        <v>0</v>
      </c>
      <c r="U186" s="71" t="n">
        <f aca="false">0</f>
        <v>0</v>
      </c>
      <c r="V186" s="71" t="n">
        <f aca="false">0</f>
        <v>0</v>
      </c>
      <c r="W186" s="71" t="n">
        <f aca="false">0</f>
        <v>0</v>
      </c>
      <c r="X186" s="71" t="n">
        <f aca="false">0</f>
        <v>0</v>
      </c>
      <c r="Y186" s="71" t="n">
        <f aca="false">0</f>
        <v>0</v>
      </c>
      <c r="Z186" s="71" t="n">
        <f aca="false">0</f>
        <v>0</v>
      </c>
      <c r="AA186" s="71" t="n">
        <f aca="false">0</f>
        <v>0</v>
      </c>
      <c r="AB186" s="71" t="n">
        <f aca="false">0</f>
        <v>0</v>
      </c>
    </row>
    <row r="187" customFormat="false" ht="15" hidden="false" customHeight="false" outlineLevel="0" collapsed="false">
      <c r="A187" s="28" t="s">
        <v>333</v>
      </c>
      <c r="B187" s="58" t="s">
        <v>53</v>
      </c>
      <c r="C187" s="59" t="n">
        <f aca="false">SUM(E187:P187)</f>
        <v>0</v>
      </c>
      <c r="D187" s="59" t="n">
        <f aca="false">SUM(Q187:AB187)</f>
        <v>0</v>
      </c>
      <c r="E187" s="71" t="n">
        <f aca="false">0</f>
        <v>0</v>
      </c>
      <c r="F187" s="71" t="n">
        <f aca="false">0</f>
        <v>0</v>
      </c>
      <c r="G187" s="71" t="n">
        <f aca="false">0</f>
        <v>0</v>
      </c>
      <c r="H187" s="71" t="n">
        <f aca="false">0</f>
        <v>0</v>
      </c>
      <c r="I187" s="71" t="n">
        <f aca="false">0</f>
        <v>0</v>
      </c>
      <c r="J187" s="71" t="n">
        <f aca="false">0</f>
        <v>0</v>
      </c>
      <c r="K187" s="71" t="n">
        <f aca="false">0</f>
        <v>0</v>
      </c>
      <c r="L187" s="71" t="n">
        <f aca="false">0</f>
        <v>0</v>
      </c>
      <c r="M187" s="71" t="n">
        <f aca="false">0</f>
        <v>0</v>
      </c>
      <c r="N187" s="71" t="n">
        <f aca="false">0</f>
        <v>0</v>
      </c>
      <c r="O187" s="71" t="n">
        <f aca="false">0</f>
        <v>0</v>
      </c>
      <c r="P187" s="71" t="n">
        <f aca="false">0</f>
        <v>0</v>
      </c>
      <c r="Q187" s="71" t="n">
        <f aca="false">0</f>
        <v>0</v>
      </c>
      <c r="R187" s="71" t="n">
        <f aca="false">0</f>
        <v>0</v>
      </c>
      <c r="S187" s="71" t="n">
        <f aca="false">0</f>
        <v>0</v>
      </c>
      <c r="T187" s="71" t="n">
        <f aca="false">0</f>
        <v>0</v>
      </c>
      <c r="U187" s="71" t="n">
        <f aca="false">0</f>
        <v>0</v>
      </c>
      <c r="V187" s="71" t="n">
        <f aca="false">0</f>
        <v>0</v>
      </c>
      <c r="W187" s="71" t="n">
        <f aca="false">0</f>
        <v>0</v>
      </c>
      <c r="X187" s="71" t="n">
        <f aca="false">0</f>
        <v>0</v>
      </c>
      <c r="Y187" s="71" t="n">
        <f aca="false">0</f>
        <v>0</v>
      </c>
      <c r="Z187" s="71" t="n">
        <f aca="false">0</f>
        <v>0</v>
      </c>
      <c r="AA187" s="71" t="n">
        <f aca="false">0</f>
        <v>0</v>
      </c>
      <c r="AB187" s="71" t="n">
        <f aca="false">0</f>
        <v>0</v>
      </c>
    </row>
    <row r="188" customFormat="false" ht="15" hidden="false" customHeight="false" outlineLevel="0" collapsed="false">
      <c r="A188" s="28" t="s">
        <v>334</v>
      </c>
      <c r="B188" s="58" t="s">
        <v>53</v>
      </c>
      <c r="C188" s="59" t="n">
        <f aca="false">SUM(E188:P188)</f>
        <v>97760.19</v>
      </c>
      <c r="D188" s="59" t="n">
        <f aca="false">SUM(Q188:AB188)</f>
        <v>92016</v>
      </c>
      <c r="E188" s="60" t="n">
        <f aca="false">TM_Media!E42</f>
        <v>6089.74</v>
      </c>
      <c r="F188" s="60" t="n">
        <f aca="false">TM_Media!F42</f>
        <v>6229.02</v>
      </c>
      <c r="G188" s="60" t="n">
        <f aca="false">TM_Media!G42</f>
        <v>7471.54</v>
      </c>
      <c r="H188" s="60" t="n">
        <f aca="false">TM_Media!H42</f>
        <v>7892.7</v>
      </c>
      <c r="I188" s="60" t="n">
        <f aca="false">TM_Media!I42</f>
        <v>8439.94</v>
      </c>
      <c r="J188" s="60" t="n">
        <f aca="false">TM_Media!J42</f>
        <v>7753.34</v>
      </c>
      <c r="K188" s="60" t="n">
        <f aca="false">TM_Media!K42</f>
        <v>8095.02</v>
      </c>
      <c r="L188" s="60" t="n">
        <f aca="false">TM_Media!L42</f>
        <v>8123.89</v>
      </c>
      <c r="M188" s="60" t="n">
        <f aca="false">TM_Media!M42</f>
        <v>8100</v>
      </c>
      <c r="N188" s="60" t="n">
        <f aca="false">TM_Media!N42</f>
        <v>8910</v>
      </c>
      <c r="O188" s="60" t="n">
        <f aca="false">TM_Media!O42</f>
        <v>10935</v>
      </c>
      <c r="P188" s="60" t="n">
        <f aca="false">TM_Media!P42</f>
        <v>9720</v>
      </c>
      <c r="Q188" s="60" t="n">
        <f aca="false">TM_Media!Q42</f>
        <v>6885</v>
      </c>
      <c r="R188" s="60" t="n">
        <f aca="false">TM_Media!R42</f>
        <v>6885</v>
      </c>
      <c r="S188" s="60" t="n">
        <f aca="false">TM_Media!S42</f>
        <v>7695</v>
      </c>
      <c r="T188" s="60" t="n">
        <f aca="false">TM_Media!T42</f>
        <v>8100</v>
      </c>
      <c r="U188" s="60" t="n">
        <f aca="false">TM_Media!U42</f>
        <v>8100</v>
      </c>
      <c r="V188" s="60" t="n">
        <f aca="false">TM_Media!V42</f>
        <v>7695</v>
      </c>
      <c r="W188" s="60" t="n">
        <f aca="false">TM_Media!W42</f>
        <v>6196.5</v>
      </c>
      <c r="X188" s="60" t="n">
        <f aca="false">TM_Media!X42</f>
        <v>6561</v>
      </c>
      <c r="Y188" s="60" t="n">
        <f aca="false">TM_Media!Y42</f>
        <v>7290</v>
      </c>
      <c r="Z188" s="60" t="n">
        <f aca="false">TM_Media!Z42</f>
        <v>8019</v>
      </c>
      <c r="AA188" s="60" t="n">
        <f aca="false">TM_Media!AA42</f>
        <v>9841.5</v>
      </c>
      <c r="AB188" s="60" t="n">
        <f aca="false">TM_Media!AB42</f>
        <v>8748</v>
      </c>
    </row>
    <row r="189" customFormat="false" ht="15" hidden="false" customHeight="false" outlineLevel="0" collapsed="false">
      <c r="A189" s="28" t="s">
        <v>701</v>
      </c>
      <c r="B189" s="58" t="s">
        <v>51</v>
      </c>
      <c r="C189" s="59" t="n">
        <f aca="false">SUM(E189:P189)</f>
        <v>0</v>
      </c>
      <c r="D189" s="59" t="n">
        <f aca="false">SUM(Q189:AB189)</f>
        <v>0</v>
      </c>
      <c r="E189" s="71" t="n">
        <f aca="false">0</f>
        <v>0</v>
      </c>
      <c r="F189" s="71" t="n">
        <f aca="false">0</f>
        <v>0</v>
      </c>
      <c r="G189" s="71" t="n">
        <f aca="false">0</f>
        <v>0</v>
      </c>
      <c r="H189" s="71" t="n">
        <f aca="false">0</f>
        <v>0</v>
      </c>
      <c r="I189" s="71" t="n">
        <f aca="false">0</f>
        <v>0</v>
      </c>
      <c r="J189" s="71" t="n">
        <f aca="false">0</f>
        <v>0</v>
      </c>
      <c r="K189" s="71" t="n">
        <f aca="false">0</f>
        <v>0</v>
      </c>
      <c r="L189" s="71" t="n">
        <f aca="false">0</f>
        <v>0</v>
      </c>
      <c r="M189" s="71" t="n">
        <f aca="false">0</f>
        <v>0</v>
      </c>
      <c r="N189" s="71" t="n">
        <f aca="false">0</f>
        <v>0</v>
      </c>
      <c r="O189" s="71" t="n">
        <f aca="false">0</f>
        <v>0</v>
      </c>
      <c r="P189" s="71" t="n">
        <f aca="false">0</f>
        <v>0</v>
      </c>
      <c r="Q189" s="71" t="n">
        <f aca="false">0</f>
        <v>0</v>
      </c>
      <c r="R189" s="71" t="n">
        <f aca="false">0</f>
        <v>0</v>
      </c>
      <c r="S189" s="71" t="n">
        <f aca="false">0</f>
        <v>0</v>
      </c>
      <c r="T189" s="71" t="n">
        <f aca="false">0</f>
        <v>0</v>
      </c>
      <c r="U189" s="71" t="n">
        <f aca="false">0</f>
        <v>0</v>
      </c>
      <c r="V189" s="71" t="n">
        <f aca="false">0</f>
        <v>0</v>
      </c>
      <c r="W189" s="71" t="n">
        <f aca="false">0</f>
        <v>0</v>
      </c>
      <c r="X189" s="71" t="n">
        <f aca="false">0</f>
        <v>0</v>
      </c>
      <c r="Y189" s="71" t="n">
        <f aca="false">0</f>
        <v>0</v>
      </c>
      <c r="Z189" s="71" t="n">
        <f aca="false">0</f>
        <v>0</v>
      </c>
      <c r="AA189" s="71" t="n">
        <f aca="false">0</f>
        <v>0</v>
      </c>
      <c r="AB189" s="71" t="n">
        <f aca="false">0</f>
        <v>0</v>
      </c>
    </row>
    <row r="190" customFormat="false" ht="15" hidden="false" customHeight="false" outlineLevel="0" collapsed="false">
      <c r="A190" s="68" t="s">
        <v>732</v>
      </c>
      <c r="B190" s="69"/>
      <c r="C190" s="70" t="n">
        <f aca="false">SUM(E190:P190)</f>
        <v>229760.19</v>
      </c>
      <c r="D190" s="70" t="n">
        <f aca="false">SUM(Q190:AB190)</f>
        <v>219792</v>
      </c>
      <c r="E190" s="70" t="n">
        <f aca="false">SUM(E185:E189)</f>
        <v>17089.74</v>
      </c>
      <c r="F190" s="70" t="n">
        <f aca="false">SUM(F185:F189)</f>
        <v>17229.02</v>
      </c>
      <c r="G190" s="70" t="n">
        <f aca="false">SUM(G185:G189)</f>
        <v>18471.54</v>
      </c>
      <c r="H190" s="70" t="n">
        <f aca="false">SUM(H185:H189)</f>
        <v>18892.7</v>
      </c>
      <c r="I190" s="70" t="n">
        <f aca="false">SUM(I185:I189)</f>
        <v>19439.94</v>
      </c>
      <c r="J190" s="70" t="n">
        <f aca="false">SUM(J185:J189)</f>
        <v>18753.34</v>
      </c>
      <c r="K190" s="70" t="n">
        <f aca="false">SUM(K185:K189)</f>
        <v>19095.02</v>
      </c>
      <c r="L190" s="70" t="n">
        <f aca="false">SUM(L185:L189)</f>
        <v>19123.89</v>
      </c>
      <c r="M190" s="70" t="n">
        <f aca="false">SUM(M185:M189)</f>
        <v>19100</v>
      </c>
      <c r="N190" s="70" t="n">
        <f aca="false">SUM(N185:N189)</f>
        <v>19910</v>
      </c>
      <c r="O190" s="70" t="n">
        <f aca="false">SUM(O185:O189)</f>
        <v>21935</v>
      </c>
      <c r="P190" s="70" t="n">
        <f aca="false">SUM(P185:P189)</f>
        <v>20720</v>
      </c>
      <c r="Q190" s="70" t="n">
        <f aca="false">SUM(Q185:Q189)</f>
        <v>17885</v>
      </c>
      <c r="R190" s="70" t="n">
        <f aca="false">SUM(R185:R189)</f>
        <v>17885</v>
      </c>
      <c r="S190" s="70" t="n">
        <f aca="false">SUM(S185:S189)</f>
        <v>18695</v>
      </c>
      <c r="T190" s="70" t="n">
        <f aca="false">SUM(T185:T189)</f>
        <v>19100</v>
      </c>
      <c r="U190" s="70" t="n">
        <f aca="false">SUM(U185:U189)</f>
        <v>19100</v>
      </c>
      <c r="V190" s="70" t="n">
        <f aca="false">SUM(V185:V189)</f>
        <v>18695</v>
      </c>
      <c r="W190" s="70" t="n">
        <f aca="false">SUM(W185:W189)</f>
        <v>16492.5</v>
      </c>
      <c r="X190" s="70" t="n">
        <f aca="false">SUM(X185:X189)</f>
        <v>16857</v>
      </c>
      <c r="Y190" s="70" t="n">
        <f aca="false">SUM(Y185:Y189)</f>
        <v>17586</v>
      </c>
      <c r="Z190" s="70" t="n">
        <f aca="false">SUM(Z185:Z189)</f>
        <v>18315</v>
      </c>
      <c r="AA190" s="70" t="n">
        <f aca="false">SUM(AA185:AA189)</f>
        <v>20137.5</v>
      </c>
      <c r="AB190" s="70" t="n">
        <f aca="false">SUM(AB185:AB189)</f>
        <v>19044</v>
      </c>
    </row>
    <row r="191" customFormat="false" ht="15" hidden="false" customHeight="false" outlineLevel="0" collapsed="false">
      <c r="A191" s="28" t="s">
        <v>703</v>
      </c>
      <c r="B191" s="58"/>
      <c r="C191" s="59" t="n">
        <f aca="false">SUM(E191:P191)</f>
        <v>197727.884280297</v>
      </c>
      <c r="D191" s="59" t="n">
        <f aca="false">SUM(Q191:AB191)</f>
        <v>189541.221110728</v>
      </c>
      <c r="E191" s="60" t="n">
        <f aca="false">E190/FX!E11</f>
        <v>14440.6100806963</v>
      </c>
      <c r="F191" s="60" t="n">
        <f aca="false">F190/FX!F11</f>
        <v>14524.5489799359</v>
      </c>
      <c r="G191" s="60" t="n">
        <f aca="false">G190/FX!G11</f>
        <v>15853.3579367463</v>
      </c>
      <c r="H191" s="60" t="n">
        <f aca="false">H190/FX!H11</f>
        <v>16286.8103448276</v>
      </c>
      <c r="I191" s="60" t="n">
        <f aca="false">I190/FX!I11</f>
        <v>16653.7650989463</v>
      </c>
      <c r="J191" s="60" t="n">
        <f aca="false">J190/FX!J11</f>
        <v>16280.354197413</v>
      </c>
      <c r="K191" s="60" t="n">
        <f aca="false">K190/FX!K11</f>
        <v>16692.1806022991</v>
      </c>
      <c r="L191" s="60" t="n">
        <f aca="false">L190/FX!L11</f>
        <v>16571.1104371561</v>
      </c>
      <c r="M191" s="60" t="n">
        <f aca="false">M190/FX!M11</f>
        <v>16471.1969644705</v>
      </c>
      <c r="N191" s="60" t="n">
        <f aca="false">N190/FX!N11</f>
        <v>17169.7136943774</v>
      </c>
      <c r="O191" s="60" t="n">
        <f aca="false">O190/FX!O11</f>
        <v>18916.0055191445</v>
      </c>
      <c r="P191" s="60" t="n">
        <f aca="false">P190/FX!P11</f>
        <v>17868.2304242842</v>
      </c>
      <c r="Q191" s="60" t="n">
        <f aca="false">Q190/FX!Q11</f>
        <v>15423.4218696102</v>
      </c>
      <c r="R191" s="60" t="n">
        <f aca="false">R190/FX!R11</f>
        <v>15423.4218696102</v>
      </c>
      <c r="S191" s="60" t="n">
        <f aca="false">S190/FX!S11</f>
        <v>16121.9385995171</v>
      </c>
      <c r="T191" s="60" t="n">
        <f aca="false">T190/FX!T11</f>
        <v>16471.1969644705</v>
      </c>
      <c r="U191" s="60" t="n">
        <f aca="false">U190/FX!U11</f>
        <v>16471.1969644705</v>
      </c>
      <c r="V191" s="60" t="n">
        <f aca="false">V190/FX!V11</f>
        <v>16121.9385995171</v>
      </c>
      <c r="W191" s="60" t="n">
        <f aca="false">W190/FX!W11</f>
        <v>14222.5767506037</v>
      </c>
      <c r="X191" s="60" t="n">
        <f aca="false">X190/FX!X11</f>
        <v>14536.9092790617</v>
      </c>
      <c r="Y191" s="60" t="n">
        <f aca="false">Y190/FX!Y11</f>
        <v>15165.5743359779</v>
      </c>
      <c r="Z191" s="60" t="n">
        <f aca="false">Z190/FX!Z11</f>
        <v>15794.2393928941</v>
      </c>
      <c r="AA191" s="60" t="n">
        <f aca="false">AA190/FX!AA11</f>
        <v>17365.9020351845</v>
      </c>
      <c r="AB191" s="60" t="n">
        <f aca="false">AB190/FX!AB11</f>
        <v>16422.9044498103</v>
      </c>
    </row>
    <row r="192" customFormat="false" ht="15" hidden="false" customHeight="false" outlineLevel="0" collapsed="false">
      <c r="A192" s="28" t="s">
        <v>704</v>
      </c>
      <c r="B192" s="58" t="s">
        <v>51</v>
      </c>
      <c r="C192" s="59" t="n">
        <f aca="false">SUM(E192:P192)</f>
        <v>0</v>
      </c>
      <c r="D192" s="59" t="n">
        <f aca="false">SUM(Q192:AB192)</f>
        <v>0</v>
      </c>
      <c r="E192" s="71" t="n">
        <f aca="false">0</f>
        <v>0</v>
      </c>
      <c r="F192" s="71" t="n">
        <f aca="false">0</f>
        <v>0</v>
      </c>
      <c r="G192" s="71" t="n">
        <f aca="false">0</f>
        <v>0</v>
      </c>
      <c r="H192" s="71" t="n">
        <f aca="false">0</f>
        <v>0</v>
      </c>
      <c r="I192" s="71" t="n">
        <f aca="false">0</f>
        <v>0</v>
      </c>
      <c r="J192" s="71" t="n">
        <f aca="false">0</f>
        <v>0</v>
      </c>
      <c r="K192" s="71" t="n">
        <f aca="false">0</f>
        <v>0</v>
      </c>
      <c r="L192" s="71" t="n">
        <f aca="false">0</f>
        <v>0</v>
      </c>
      <c r="M192" s="71" t="n">
        <f aca="false">0</f>
        <v>0</v>
      </c>
      <c r="N192" s="71" t="n">
        <f aca="false">0</f>
        <v>0</v>
      </c>
      <c r="O192" s="71" t="n">
        <f aca="false">0</f>
        <v>0</v>
      </c>
      <c r="P192" s="71" t="n">
        <f aca="false">0</f>
        <v>0</v>
      </c>
      <c r="Q192" s="71" t="n">
        <f aca="false">0</f>
        <v>0</v>
      </c>
      <c r="R192" s="71" t="n">
        <f aca="false">0</f>
        <v>0</v>
      </c>
      <c r="S192" s="71" t="n">
        <f aca="false">0</f>
        <v>0</v>
      </c>
      <c r="T192" s="71" t="n">
        <f aca="false">0</f>
        <v>0</v>
      </c>
      <c r="U192" s="71" t="n">
        <f aca="false">0</f>
        <v>0</v>
      </c>
      <c r="V192" s="71" t="n">
        <f aca="false">0</f>
        <v>0</v>
      </c>
      <c r="W192" s="71" t="n">
        <f aca="false">0</f>
        <v>0</v>
      </c>
      <c r="X192" s="71" t="n">
        <f aca="false">0</f>
        <v>0</v>
      </c>
      <c r="Y192" s="71" t="n">
        <f aca="false">0</f>
        <v>0</v>
      </c>
      <c r="Z192" s="71" t="n">
        <f aca="false">0</f>
        <v>0</v>
      </c>
      <c r="AA192" s="71" t="n">
        <f aca="false">0</f>
        <v>0</v>
      </c>
      <c r="AB192" s="71" t="n">
        <f aca="false">0</f>
        <v>0</v>
      </c>
    </row>
    <row r="193" customFormat="false" ht="15" hidden="false" customHeight="false" outlineLevel="0" collapsed="false">
      <c r="A193" s="68" t="s">
        <v>705</v>
      </c>
      <c r="B193" s="69" t="s">
        <v>706</v>
      </c>
      <c r="C193" s="70" t="n">
        <f aca="false">SUM(E193:P193)</f>
        <v>197727.884280297</v>
      </c>
      <c r="D193" s="70" t="n">
        <f aca="false">SUM(Q193:AB193)</f>
        <v>189541.221110728</v>
      </c>
      <c r="E193" s="70" t="n">
        <f aca="false">E191-E192</f>
        <v>14440.6100806963</v>
      </c>
      <c r="F193" s="70" t="n">
        <f aca="false">F191-F192</f>
        <v>14524.5489799359</v>
      </c>
      <c r="G193" s="70" t="n">
        <f aca="false">G191-G192</f>
        <v>15853.3579367463</v>
      </c>
      <c r="H193" s="70" t="n">
        <f aca="false">H191-H192</f>
        <v>16286.8103448276</v>
      </c>
      <c r="I193" s="70" t="n">
        <f aca="false">I191-I192</f>
        <v>16653.7650989463</v>
      </c>
      <c r="J193" s="70" t="n">
        <f aca="false">J191-J192</f>
        <v>16280.354197413</v>
      </c>
      <c r="K193" s="70" t="n">
        <f aca="false">K191-K192</f>
        <v>16692.1806022991</v>
      </c>
      <c r="L193" s="70" t="n">
        <f aca="false">L191-L192</f>
        <v>16571.1104371561</v>
      </c>
      <c r="M193" s="70" t="n">
        <f aca="false">M191-M192</f>
        <v>16471.1969644705</v>
      </c>
      <c r="N193" s="70" t="n">
        <f aca="false">N191-N192</f>
        <v>17169.7136943774</v>
      </c>
      <c r="O193" s="70" t="n">
        <f aca="false">O191-O192</f>
        <v>18916.0055191445</v>
      </c>
      <c r="P193" s="70" t="n">
        <f aca="false">P191-P192</f>
        <v>17868.2304242842</v>
      </c>
      <c r="Q193" s="70" t="n">
        <f aca="false">Q191-Q192</f>
        <v>15423.4218696102</v>
      </c>
      <c r="R193" s="70" t="n">
        <f aca="false">R191-R192</f>
        <v>15423.4218696102</v>
      </c>
      <c r="S193" s="70" t="n">
        <f aca="false">S191-S192</f>
        <v>16121.9385995171</v>
      </c>
      <c r="T193" s="70" t="n">
        <f aca="false">T191-T192</f>
        <v>16471.1969644705</v>
      </c>
      <c r="U193" s="70" t="n">
        <f aca="false">U191-U192</f>
        <v>16471.1969644705</v>
      </c>
      <c r="V193" s="70" t="n">
        <f aca="false">V191-V192</f>
        <v>16121.9385995171</v>
      </c>
      <c r="W193" s="70" t="n">
        <f aca="false">W191-W192</f>
        <v>14222.5767506037</v>
      </c>
      <c r="X193" s="70" t="n">
        <f aca="false">X191-X192</f>
        <v>14536.9092790617</v>
      </c>
      <c r="Y193" s="70" t="n">
        <f aca="false">Y191-Y192</f>
        <v>15165.5743359779</v>
      </c>
      <c r="Z193" s="70" t="n">
        <f aca="false">Z191-Z192</f>
        <v>15794.2393928941</v>
      </c>
      <c r="AA193" s="70" t="n">
        <f aca="false">AA191-AA192</f>
        <v>17365.9020351845</v>
      </c>
      <c r="AB193" s="70" t="n">
        <f aca="false">AB191-AB192</f>
        <v>16422.9044498103</v>
      </c>
    </row>
    <row r="194" customFormat="false" ht="15" hidden="false" customHeight="false" outlineLevel="0" collapsed="false">
      <c r="A194" s="28" t="s">
        <v>707</v>
      </c>
      <c r="B194" s="58" t="s">
        <v>708</v>
      </c>
      <c r="C194" s="66" t="n">
        <f aca="false">SUM(E194:P194)</f>
        <v>2055.465</v>
      </c>
      <c r="D194" s="66" t="n">
        <f aca="false">SUM(Q194:AB194)</f>
        <v>1978.76025</v>
      </c>
      <c r="E194" s="67" t="n">
        <f aca="false">Retainers!E63+TM_Media!E43</f>
        <v>165.2</v>
      </c>
      <c r="F194" s="67" t="n">
        <f aca="false">Retainers!F63+TM_Media!F43</f>
        <v>168.3</v>
      </c>
      <c r="G194" s="67" t="n">
        <f aca="false">Retainers!G63+TM_Media!G43</f>
        <v>172.8</v>
      </c>
      <c r="H194" s="67" t="n">
        <f aca="false">Retainers!H63+TM_Media!H43</f>
        <v>177.6</v>
      </c>
      <c r="I194" s="67" t="n">
        <f aca="false">Retainers!I63+TM_Media!I43</f>
        <v>180.5</v>
      </c>
      <c r="J194" s="67" t="n">
        <f aca="false">Retainers!J63+TM_Media!J43</f>
        <v>164.7</v>
      </c>
      <c r="K194" s="67" t="n">
        <f aca="false">Retainers!K63+TM_Media!K43</f>
        <v>174.2</v>
      </c>
      <c r="L194" s="67" t="n">
        <f aca="false">Retainers!L63+TM_Media!L43</f>
        <v>172.6</v>
      </c>
      <c r="M194" s="67" t="n">
        <f aca="false">Retainers!M63+TM_Media!M43</f>
        <v>169.89125</v>
      </c>
      <c r="N194" s="67" t="n">
        <f aca="false">Retainers!N63+TM_Media!N43</f>
        <v>169.89125</v>
      </c>
      <c r="O194" s="67" t="n">
        <f aca="false">Retainers!O63+TM_Media!O43</f>
        <v>169.89125</v>
      </c>
      <c r="P194" s="67" t="n">
        <f aca="false">Retainers!P63+TM_Media!P43</f>
        <v>169.89125</v>
      </c>
      <c r="Q194" s="67" t="n">
        <f aca="false">Retainers!Q63+TM_Media!Q43</f>
        <v>169.89125</v>
      </c>
      <c r="R194" s="67" t="n">
        <f aca="false">Retainers!R63+TM_Media!R43</f>
        <v>169.89125</v>
      </c>
      <c r="S194" s="67" t="n">
        <f aca="false">Retainers!S63+TM_Media!S43</f>
        <v>169.89125</v>
      </c>
      <c r="T194" s="67" t="n">
        <f aca="false">Retainers!T63+TM_Media!T43</f>
        <v>169.89125</v>
      </c>
      <c r="U194" s="67" t="n">
        <f aca="false">Retainers!U63+TM_Media!U43</f>
        <v>169.89125</v>
      </c>
      <c r="V194" s="67" t="n">
        <f aca="false">Retainers!V63+TM_Media!V43</f>
        <v>169.89125</v>
      </c>
      <c r="W194" s="67" t="n">
        <f aca="false">Retainers!W63+TM_Media!W43</f>
        <v>159.902125</v>
      </c>
      <c r="X194" s="67" t="n">
        <f aca="false">Retainers!X63+TM_Media!X43</f>
        <v>159.902125</v>
      </c>
      <c r="Y194" s="67" t="n">
        <f aca="false">Retainers!Y63+TM_Media!Y43</f>
        <v>159.902125</v>
      </c>
      <c r="Z194" s="67" t="n">
        <f aca="false">Retainers!Z63+TM_Media!Z43</f>
        <v>159.902125</v>
      </c>
      <c r="AA194" s="67" t="n">
        <f aca="false">Retainers!AA63+TM_Media!AA43</f>
        <v>159.902125</v>
      </c>
      <c r="AB194" s="67" t="n">
        <f aca="false">Retainers!AB63+TM_Media!AB43</f>
        <v>159.902125</v>
      </c>
    </row>
    <row r="195" customFormat="false" ht="15" hidden="false" customHeight="false" outlineLevel="0" collapsed="false">
      <c r="A195" s="28" t="s">
        <v>709</v>
      </c>
      <c r="B195" s="58" t="s">
        <v>710</v>
      </c>
      <c r="C195" s="59" t="n">
        <f aca="false">SUM(E195:P195)</f>
        <v>96510.8716421634</v>
      </c>
      <c r="D195" s="59" t="n">
        <f aca="false">SUM(Q195:AB195)</f>
        <v>97112.8456167441</v>
      </c>
      <c r="E195" s="60" t="n">
        <f aca="false">Retainers!E63*Utilisation!E89+TM_Media!E43*Utilisation!E93</f>
        <v>7758.40208423475</v>
      </c>
      <c r="F195" s="60" t="n">
        <f aca="false">Retainers!F63*Utilisation!F89+TM_Media!F43*Utilisation!F93</f>
        <v>7903.08345776755</v>
      </c>
      <c r="G195" s="60" t="n">
        <f aca="false">Retainers!G63*Utilisation!G89+TM_Media!G43*Utilisation!G93</f>
        <v>8113.10480644419</v>
      </c>
      <c r="H195" s="60" t="n">
        <f aca="false">Retainers!H63*Utilisation!H89+TM_Media!H43*Utilisation!H93</f>
        <v>8337.12757836594</v>
      </c>
      <c r="I195" s="60" t="n">
        <f aca="false">Retainers!I63*Utilisation!I89+TM_Media!I43*Utilisation!I93</f>
        <v>8472.47466973533</v>
      </c>
      <c r="J195" s="60" t="n">
        <f aca="false">Retainers!J63*Utilisation!J89+TM_Media!J43*Utilisation!J93</f>
        <v>7735.06637882624</v>
      </c>
      <c r="K195" s="60" t="n">
        <f aca="false">Retainers!K63*Utilisation!K89+TM_Media!K43*Utilisation!K93</f>
        <v>8178.44478158803</v>
      </c>
      <c r="L195" s="60" t="n">
        <f aca="false">Retainers!L63*Utilisation!L89+TM_Media!L43*Utilisation!L93</f>
        <v>8103.77052428078</v>
      </c>
      <c r="M195" s="60" t="n">
        <f aca="false">Retainers!M63*Utilisation!M89+TM_Media!M43*Utilisation!M93</f>
        <v>7977.34934023015</v>
      </c>
      <c r="N195" s="60" t="n">
        <f aca="false">Retainers!N63*Utilisation!N89+TM_Media!N43*Utilisation!N93</f>
        <v>7977.34934023015</v>
      </c>
      <c r="O195" s="60" t="n">
        <f aca="false">Retainers!O63*Utilisation!O89+TM_Media!O43*Utilisation!O93</f>
        <v>7977.34934023015</v>
      </c>
      <c r="P195" s="60" t="n">
        <f aca="false">Retainers!P63*Utilisation!P89+TM_Media!P43*Utilisation!P93</f>
        <v>7977.34934023015</v>
      </c>
      <c r="Q195" s="60" t="n">
        <f aca="false">Retainers!Q63*Utilisation!Q89+TM_Media!Q43*Utilisation!Q93</f>
        <v>8336.33006054051</v>
      </c>
      <c r="R195" s="60" t="n">
        <f aca="false">Retainers!R63*Utilisation!R89+TM_Media!R43*Utilisation!R93</f>
        <v>8336.33006054051</v>
      </c>
      <c r="S195" s="60" t="n">
        <f aca="false">Retainers!S63*Utilisation!S89+TM_Media!S43*Utilisation!S93</f>
        <v>8336.33006054051</v>
      </c>
      <c r="T195" s="60" t="n">
        <f aca="false">Retainers!T63*Utilisation!T89+TM_Media!T43*Utilisation!T93</f>
        <v>8336.33006054051</v>
      </c>
      <c r="U195" s="60" t="n">
        <f aca="false">Retainers!U63*Utilisation!U89+TM_Media!U43*Utilisation!U93</f>
        <v>8336.33006054051</v>
      </c>
      <c r="V195" s="60" t="n">
        <f aca="false">Retainers!V63*Utilisation!V89+TM_Media!V43*Utilisation!V93</f>
        <v>8336.33006054051</v>
      </c>
      <c r="W195" s="60" t="n">
        <f aca="false">Retainers!W63*Utilisation!W89+TM_Media!W43*Utilisation!W93</f>
        <v>7849.14420891684</v>
      </c>
      <c r="X195" s="60" t="n">
        <f aca="false">Retainers!X63*Utilisation!X89+TM_Media!X43*Utilisation!X93</f>
        <v>7849.14420891684</v>
      </c>
      <c r="Y195" s="60" t="n">
        <f aca="false">Retainers!Y63*Utilisation!Y89+TM_Media!Y43*Utilisation!Y93</f>
        <v>7849.14420891684</v>
      </c>
      <c r="Z195" s="60" t="n">
        <f aca="false">Retainers!Z63*Utilisation!Z89+TM_Media!Z43*Utilisation!Z93</f>
        <v>7849.14420891684</v>
      </c>
      <c r="AA195" s="60" t="n">
        <f aca="false">Retainers!AA63*Utilisation!AA89+TM_Media!AA43*Utilisation!AA93</f>
        <v>7849.14420891684</v>
      </c>
      <c r="AB195" s="60" t="n">
        <f aca="false">Retainers!AB63*Utilisation!AB89+TM_Media!AB43*Utilisation!AB93</f>
        <v>7849.14420891684</v>
      </c>
    </row>
    <row r="196" customFormat="false" ht="15" hidden="false" customHeight="false" outlineLevel="0" collapsed="false">
      <c r="A196" s="28" t="s">
        <v>711</v>
      </c>
      <c r="B196" s="58" t="s">
        <v>53</v>
      </c>
      <c r="C196" s="59" t="n">
        <f aca="false">SUM(E196:P196)</f>
        <v>1086224.31</v>
      </c>
      <c r="D196" s="59" t="n">
        <f aca="false">SUM(Q196:AB196)</f>
        <v>1022400</v>
      </c>
      <c r="E196" s="60" t="n">
        <f aca="false">TM_Media!E41</f>
        <v>67663.78</v>
      </c>
      <c r="F196" s="60" t="n">
        <f aca="false">TM_Media!F41</f>
        <v>69211.3</v>
      </c>
      <c r="G196" s="60" t="n">
        <f aca="false">TM_Media!G41</f>
        <v>83017.1</v>
      </c>
      <c r="H196" s="60" t="n">
        <f aca="false">TM_Media!H41</f>
        <v>87696.66</v>
      </c>
      <c r="I196" s="60" t="n">
        <f aca="false">TM_Media!I41</f>
        <v>93777.15</v>
      </c>
      <c r="J196" s="60" t="n">
        <f aca="false">TM_Media!J41</f>
        <v>86148.17</v>
      </c>
      <c r="K196" s="60" t="n">
        <f aca="false">TM_Media!K41</f>
        <v>89944.71</v>
      </c>
      <c r="L196" s="60" t="n">
        <f aca="false">TM_Media!L41</f>
        <v>90265.44</v>
      </c>
      <c r="M196" s="60" t="n">
        <f aca="false">TM_Media!M41</f>
        <v>90000</v>
      </c>
      <c r="N196" s="60" t="n">
        <f aca="false">TM_Media!N41</f>
        <v>99000</v>
      </c>
      <c r="O196" s="60" t="n">
        <f aca="false">TM_Media!O41</f>
        <v>121500</v>
      </c>
      <c r="P196" s="60" t="n">
        <f aca="false">TM_Media!P41</f>
        <v>108000</v>
      </c>
      <c r="Q196" s="60" t="n">
        <f aca="false">TM_Media!Q41</f>
        <v>76500</v>
      </c>
      <c r="R196" s="60" t="n">
        <f aca="false">TM_Media!R41</f>
        <v>76500</v>
      </c>
      <c r="S196" s="60" t="n">
        <f aca="false">TM_Media!S41</f>
        <v>85500</v>
      </c>
      <c r="T196" s="60" t="n">
        <f aca="false">TM_Media!T41</f>
        <v>90000</v>
      </c>
      <c r="U196" s="60" t="n">
        <f aca="false">TM_Media!U41</f>
        <v>90000</v>
      </c>
      <c r="V196" s="60" t="n">
        <f aca="false">TM_Media!V41</f>
        <v>85500</v>
      </c>
      <c r="W196" s="60" t="n">
        <f aca="false">TM_Media!W41</f>
        <v>68850</v>
      </c>
      <c r="X196" s="60" t="n">
        <f aca="false">TM_Media!X41</f>
        <v>72900</v>
      </c>
      <c r="Y196" s="60" t="n">
        <f aca="false">TM_Media!Y41</f>
        <v>81000</v>
      </c>
      <c r="Z196" s="60" t="n">
        <f aca="false">TM_Media!Z41</f>
        <v>89100</v>
      </c>
      <c r="AA196" s="60" t="n">
        <f aca="false">TM_Media!AA41</f>
        <v>109350</v>
      </c>
      <c r="AB196" s="60" t="n">
        <f aca="false">TM_Media!AB41</f>
        <v>97200</v>
      </c>
    </row>
    <row r="197" customFormat="false" ht="15" hidden="false" customHeight="false" outlineLevel="0" collapsed="false">
      <c r="A197" s="28" t="s">
        <v>712</v>
      </c>
      <c r="B197" s="58" t="s">
        <v>713</v>
      </c>
      <c r="C197" s="59" t="n">
        <f aca="false">SUM(E197:P197)</f>
        <v>1315984.5</v>
      </c>
      <c r="D197" s="59" t="n">
        <f aca="false">SUM(Q197:AB197)</f>
        <v>1242192</v>
      </c>
      <c r="E197" s="60" t="n">
        <f aca="false">Retainers!E66+E188+E196+E189</f>
        <v>84753.52</v>
      </c>
      <c r="F197" s="60" t="n">
        <f aca="false">Retainers!F66+F188+F196+F189</f>
        <v>86440.32</v>
      </c>
      <c r="G197" s="60" t="n">
        <f aca="false">Retainers!G66+G188+G196+G189</f>
        <v>101488.64</v>
      </c>
      <c r="H197" s="60" t="n">
        <f aca="false">Retainers!H66+H188+H196+H189</f>
        <v>106589.36</v>
      </c>
      <c r="I197" s="60" t="n">
        <f aca="false">Retainers!I66+I188+I196+I189</f>
        <v>113217.09</v>
      </c>
      <c r="J197" s="60" t="n">
        <f aca="false">Retainers!J66+J188+J196+J189</f>
        <v>104901.51</v>
      </c>
      <c r="K197" s="60" t="n">
        <f aca="false">Retainers!K66+K188+K196+K189</f>
        <v>109039.73</v>
      </c>
      <c r="L197" s="60" t="n">
        <f aca="false">Retainers!L66+L188+L196+L189</f>
        <v>109389.33</v>
      </c>
      <c r="M197" s="60" t="n">
        <f aca="false">Retainers!M66+M188+M196+M189</f>
        <v>109100</v>
      </c>
      <c r="N197" s="60" t="n">
        <f aca="false">Retainers!N66+N188+N196+N189</f>
        <v>118910</v>
      </c>
      <c r="O197" s="60" t="n">
        <f aca="false">Retainers!O66+O188+O196+O189</f>
        <v>143435</v>
      </c>
      <c r="P197" s="60" t="n">
        <f aca="false">Retainers!P66+P188+P196+P189</f>
        <v>128720</v>
      </c>
      <c r="Q197" s="60" t="n">
        <f aca="false">Retainers!Q66+Q188+Q196+Q189</f>
        <v>94385</v>
      </c>
      <c r="R197" s="60" t="n">
        <f aca="false">Retainers!R66+R188+R196+R189</f>
        <v>94385</v>
      </c>
      <c r="S197" s="60" t="n">
        <f aca="false">Retainers!S66+S188+S196+S189</f>
        <v>104195</v>
      </c>
      <c r="T197" s="60" t="n">
        <f aca="false">Retainers!T66+T188+T196+T189</f>
        <v>109100</v>
      </c>
      <c r="U197" s="60" t="n">
        <f aca="false">Retainers!U66+U188+U196+U189</f>
        <v>109100</v>
      </c>
      <c r="V197" s="60" t="n">
        <f aca="false">Retainers!V66+V188+V196+V189</f>
        <v>104195</v>
      </c>
      <c r="W197" s="60" t="n">
        <f aca="false">Retainers!W66+W188+W196+W189</f>
        <v>85342.5</v>
      </c>
      <c r="X197" s="60" t="n">
        <f aca="false">Retainers!X66+X188+X196+X189</f>
        <v>89757</v>
      </c>
      <c r="Y197" s="60" t="n">
        <f aca="false">Retainers!Y66+Y188+Y196+Y189</f>
        <v>98586</v>
      </c>
      <c r="Z197" s="60" t="n">
        <f aca="false">Retainers!Z66+Z188+Z196+Z189</f>
        <v>107415</v>
      </c>
      <c r="AA197" s="60" t="n">
        <f aca="false">Retainers!AA66+AA188+AA196+AA189</f>
        <v>129487.5</v>
      </c>
      <c r="AB197" s="60" t="n">
        <f aca="false">Retainers!AB66+AB188+AB196+AB189</f>
        <v>116244</v>
      </c>
    </row>
    <row r="198" customFormat="false" ht="15" hidden="false" customHeight="false" outlineLevel="0" collapsed="false">
      <c r="A198" s="28" t="s">
        <v>714</v>
      </c>
      <c r="B198" s="58" t="s">
        <v>715</v>
      </c>
      <c r="C198" s="59" t="n">
        <f aca="false">SUM(E198:P198)</f>
        <v>0</v>
      </c>
      <c r="D198" s="59" t="n">
        <f aca="false">SUM(Q198:AB198)</f>
        <v>0</v>
      </c>
      <c r="E198" s="60" t="n">
        <f aca="false">E197*Client_Register!$F$15</f>
        <v>0</v>
      </c>
      <c r="F198" s="60" t="n">
        <f aca="false">F197*Client_Register!$F$15</f>
        <v>0</v>
      </c>
      <c r="G198" s="60" t="n">
        <f aca="false">G197*Client_Register!$F$15</f>
        <v>0</v>
      </c>
      <c r="H198" s="60" t="n">
        <f aca="false">H197*Client_Register!$F$15</f>
        <v>0</v>
      </c>
      <c r="I198" s="60" t="n">
        <f aca="false">I197*Client_Register!$F$15</f>
        <v>0</v>
      </c>
      <c r="J198" s="60" t="n">
        <f aca="false">J197*Client_Register!$F$15</f>
        <v>0</v>
      </c>
      <c r="K198" s="60" t="n">
        <f aca="false">K197*Client_Register!$F$15</f>
        <v>0</v>
      </c>
      <c r="L198" s="60" t="n">
        <f aca="false">L197*Client_Register!$F$15</f>
        <v>0</v>
      </c>
      <c r="M198" s="60" t="n">
        <f aca="false">M197*Client_Register!$F$15</f>
        <v>0</v>
      </c>
      <c r="N198" s="60" t="n">
        <f aca="false">N197*Client_Register!$F$15</f>
        <v>0</v>
      </c>
      <c r="O198" s="60" t="n">
        <f aca="false">O197*Client_Register!$F$15</f>
        <v>0</v>
      </c>
      <c r="P198" s="60" t="n">
        <f aca="false">P197*Client_Register!$F$15</f>
        <v>0</v>
      </c>
      <c r="Q198" s="60" t="n">
        <f aca="false">Q197*Client_Register!$F$15</f>
        <v>0</v>
      </c>
      <c r="R198" s="60" t="n">
        <f aca="false">R197*Client_Register!$F$15</f>
        <v>0</v>
      </c>
      <c r="S198" s="60" t="n">
        <f aca="false">S197*Client_Register!$F$15</f>
        <v>0</v>
      </c>
      <c r="T198" s="60" t="n">
        <f aca="false">T197*Client_Register!$F$15</f>
        <v>0</v>
      </c>
      <c r="U198" s="60" t="n">
        <f aca="false">U197*Client_Register!$F$15</f>
        <v>0</v>
      </c>
      <c r="V198" s="60" t="n">
        <f aca="false">V197*Client_Register!$F$15</f>
        <v>0</v>
      </c>
      <c r="W198" s="60" t="n">
        <f aca="false">W197*Client_Register!$F$15</f>
        <v>0</v>
      </c>
      <c r="X198" s="60" t="n">
        <f aca="false">X197*Client_Register!$F$15</f>
        <v>0</v>
      </c>
      <c r="Y198" s="60" t="n">
        <f aca="false">Y197*Client_Register!$F$15</f>
        <v>0</v>
      </c>
      <c r="Z198" s="60" t="n">
        <f aca="false">Z197*Client_Register!$F$15</f>
        <v>0</v>
      </c>
      <c r="AA198" s="60" t="n">
        <f aca="false">AA197*Client_Register!$F$15</f>
        <v>0</v>
      </c>
      <c r="AB198" s="60" t="n">
        <f aca="false">AB197*Client_Register!$F$15</f>
        <v>0</v>
      </c>
    </row>
    <row r="199" customFormat="false" ht="15" hidden="false" customHeight="false" outlineLevel="0" collapsed="false">
      <c r="A199" s="68" t="s">
        <v>716</v>
      </c>
      <c r="B199" s="69"/>
      <c r="C199" s="70" t="n">
        <f aca="false">SUM(E199:P199)</f>
        <v>1315984.5</v>
      </c>
      <c r="D199" s="70" t="n">
        <f aca="false">SUM(Q199:AB199)</f>
        <v>1242192</v>
      </c>
      <c r="E199" s="70" t="n">
        <f aca="false">E197+E198</f>
        <v>84753.52</v>
      </c>
      <c r="F199" s="70" t="n">
        <f aca="false">F197+F198</f>
        <v>86440.32</v>
      </c>
      <c r="G199" s="70" t="n">
        <f aca="false">G197+G198</f>
        <v>101488.64</v>
      </c>
      <c r="H199" s="70" t="n">
        <f aca="false">H197+H198</f>
        <v>106589.36</v>
      </c>
      <c r="I199" s="70" t="n">
        <f aca="false">I197+I198</f>
        <v>113217.09</v>
      </c>
      <c r="J199" s="70" t="n">
        <f aca="false">J197+J198</f>
        <v>104901.51</v>
      </c>
      <c r="K199" s="70" t="n">
        <f aca="false">K197+K198</f>
        <v>109039.73</v>
      </c>
      <c r="L199" s="70" t="n">
        <f aca="false">L197+L198</f>
        <v>109389.33</v>
      </c>
      <c r="M199" s="70" t="n">
        <f aca="false">M197+M198</f>
        <v>109100</v>
      </c>
      <c r="N199" s="70" t="n">
        <f aca="false">N197+N198</f>
        <v>118910</v>
      </c>
      <c r="O199" s="70" t="n">
        <f aca="false">O197+O198</f>
        <v>143435</v>
      </c>
      <c r="P199" s="70" t="n">
        <f aca="false">P197+P198</f>
        <v>128720</v>
      </c>
      <c r="Q199" s="70" t="n">
        <f aca="false">Q197+Q198</f>
        <v>94385</v>
      </c>
      <c r="R199" s="70" t="n">
        <f aca="false">R197+R198</f>
        <v>94385</v>
      </c>
      <c r="S199" s="70" t="n">
        <f aca="false">S197+S198</f>
        <v>104195</v>
      </c>
      <c r="T199" s="70" t="n">
        <f aca="false">T197+T198</f>
        <v>109100</v>
      </c>
      <c r="U199" s="70" t="n">
        <f aca="false">U197+U198</f>
        <v>109100</v>
      </c>
      <c r="V199" s="70" t="n">
        <f aca="false">V197+V198</f>
        <v>104195</v>
      </c>
      <c r="W199" s="70" t="n">
        <f aca="false">W197+W198</f>
        <v>85342.5</v>
      </c>
      <c r="X199" s="70" t="n">
        <f aca="false">X197+X198</f>
        <v>89757</v>
      </c>
      <c r="Y199" s="70" t="n">
        <f aca="false">Y197+Y198</f>
        <v>98586</v>
      </c>
      <c r="Z199" s="70" t="n">
        <f aca="false">Z197+Z198</f>
        <v>107415</v>
      </c>
      <c r="AA199" s="70" t="n">
        <f aca="false">AA197+AA198</f>
        <v>129487.5</v>
      </c>
      <c r="AB199" s="70" t="n">
        <f aca="false">AB197+AB198</f>
        <v>116244</v>
      </c>
    </row>
    <row r="200" customFormat="false" ht="15" hidden="false" customHeight="false" outlineLevel="0" collapsed="false">
      <c r="A200" s="28" t="s">
        <v>717</v>
      </c>
      <c r="B200" s="58" t="s">
        <v>718</v>
      </c>
      <c r="C200" s="59" t="n">
        <f aca="false">SUM(E200:P200)</f>
        <v>1297501.75</v>
      </c>
      <c r="D200" s="59" t="n">
        <f aca="false">SUM(Q200:AB200)</f>
        <v>1268615.5</v>
      </c>
      <c r="E200" s="60" t="n">
        <f aca="false">IF(E$5="A",Inputs_Actuals!E121,Client_Register!$T$15+E199-(E199*MIN(1,Client_Register!$J$15/30)+0*MIN(1,MAX(0,(Client_Register!$J$15-30)/30))+0*MIN(1,MAX(0,(Client_Register!$J$15-60)/30))))</f>
        <v>108093.63</v>
      </c>
      <c r="F200" s="60" t="n">
        <f aca="false">IF(F$5="A",Inputs_Actuals!F121,E201+F199-(F199*MIN(1,Client_Register!$J$15/30)+E199*MIN(1,MAX(0,(Client_Register!$J$15-30)/30))+0*MIN(1,MAX(0,(Client_Register!$J$15-60)/30))))</f>
        <v>151952.1</v>
      </c>
      <c r="G200" s="60" t="n">
        <f aca="false">IF(G$5="A",Inputs_Actuals!G121,F201+G199-(G199*MIN(1,Client_Register!$J$15/30)+F199*MIN(1,MAX(0,(Client_Register!$J$15-30)/30))+E199*MIN(1,MAX(0,(Client_Register!$J$15-60)/30))))</f>
        <v>73474.85</v>
      </c>
      <c r="H200" s="60" t="n">
        <f aca="false">IF(H$5="A",Inputs_Actuals!H121,G201+H199-(H199*MIN(1,Client_Register!$J$15/30)+G199*MIN(1,MAX(0,(Client_Register!$J$15-30)/30))+F199*MIN(1,MAX(0,(Client_Register!$J$15-60)/30))))</f>
        <v>104268.91</v>
      </c>
      <c r="I200" s="60" t="n">
        <f aca="false">IF(I$5="A",Inputs_Actuals!I121,H201+I199-(I199*MIN(1,Client_Register!$J$15/30)+H199*MIN(1,MAX(0,(Client_Register!$J$15-30)/30))+G199*MIN(1,MAX(0,(Client_Register!$J$15-60)/30))))</f>
        <v>101484.01</v>
      </c>
      <c r="J200" s="60" t="n">
        <f aca="false">IF(J$5="A",Inputs_Actuals!J121,I201+J199-(J199*MIN(1,Client_Register!$J$15/30)+I199*MIN(1,MAX(0,(Client_Register!$J$15-30)/30))+H199*MIN(1,MAX(0,(Client_Register!$J$15-60)/30))))</f>
        <v>78717.88</v>
      </c>
      <c r="K200" s="60" t="n">
        <f aca="false">IF(K$5="A",Inputs_Actuals!K121,J201+K199-(K199*MIN(1,Client_Register!$J$15/30)+J199*MIN(1,MAX(0,(Client_Register!$J$15-30)/30))+I199*MIN(1,MAX(0,(Client_Register!$J$15-60)/30))))</f>
        <v>134762.36</v>
      </c>
      <c r="L200" s="60" t="n">
        <f aca="false">IF(L$5="A",Inputs_Actuals!L121,K201+L199-(L199*MIN(1,Client_Register!$J$15/30)+K199*MIN(1,MAX(0,(Client_Register!$J$15-30)/30))+J199*MIN(1,MAX(0,(Client_Register!$J$15-60)/30))))</f>
        <v>89911.9</v>
      </c>
      <c r="M200" s="60" t="n">
        <f aca="false">IF(M$5="A",Inputs_Actuals!M121,L201+M199-(M199*MIN(1,Client_Register!$J$15/30)+L199*MIN(1,MAX(0,(Client_Register!$J$15-30)/30))+K199*MIN(1,MAX(0,(Client_Register!$J$15-60)/30))))</f>
        <v>117436.78</v>
      </c>
      <c r="N200" s="60" t="n">
        <f aca="false">IF(N$5="A",Inputs_Actuals!N121,M201+N199-(N199*MIN(1,Client_Register!$J$15/30)+M199*MIN(1,MAX(0,(Client_Register!$J$15-30)/30))+L199*MIN(1,MAX(0,(Client_Register!$J$15-60)/30))))</f>
        <v>109389.33</v>
      </c>
      <c r="O200" s="60" t="n">
        <f aca="false">IF(O$5="A",Inputs_Actuals!O121,N201+O199-(O199*MIN(1,Client_Register!$J$15/30)+N199*MIN(1,MAX(0,(Client_Register!$J$15-30)/30))+M199*MIN(1,MAX(0,(Client_Register!$J$15-60)/30))))</f>
        <v>109100</v>
      </c>
      <c r="P200" s="60" t="n">
        <f aca="false">IF(P$5="A",Inputs_Actuals!P121,O201+P199-(P199*MIN(1,Client_Register!$J$15/30)+O199*MIN(1,MAX(0,(Client_Register!$J$15-30)/30))+N199*MIN(1,MAX(0,(Client_Register!$J$15-60)/30))))</f>
        <v>118910</v>
      </c>
      <c r="Q200" s="60" t="n">
        <f aca="false">IF(Q$5="A",Inputs_Actuals!Q121,P201+Q199-(Q199*MIN(1,Client_Register!$J$15/30)+P199*MIN(1,MAX(0,(Client_Register!$J$15-30)/30))+O199*MIN(1,MAX(0,(Client_Register!$J$15-60)/30))))</f>
        <v>143435</v>
      </c>
      <c r="R200" s="60" t="n">
        <f aca="false">IF(R$5="A",Inputs_Actuals!R121,Q201+R199-(R199*MIN(1,Client_Register!$J$15/30)+Q199*MIN(1,MAX(0,(Client_Register!$J$15-30)/30))+P199*MIN(1,MAX(0,(Client_Register!$J$15-60)/30))))</f>
        <v>128720</v>
      </c>
      <c r="S200" s="60" t="n">
        <f aca="false">IF(S$5="A",Inputs_Actuals!S121,R201+S199-(S199*MIN(1,Client_Register!$J$15/30)+R199*MIN(1,MAX(0,(Client_Register!$J$15-30)/30))+Q199*MIN(1,MAX(0,(Client_Register!$J$15-60)/30))))</f>
        <v>94385</v>
      </c>
      <c r="T200" s="60" t="n">
        <f aca="false">IF(T$5="A",Inputs_Actuals!T121,S201+T199-(T199*MIN(1,Client_Register!$J$15/30)+S199*MIN(1,MAX(0,(Client_Register!$J$15-30)/30))+R199*MIN(1,MAX(0,(Client_Register!$J$15-60)/30))))</f>
        <v>94385</v>
      </c>
      <c r="U200" s="60" t="n">
        <f aca="false">IF(U$5="A",Inputs_Actuals!U121,T201+U199-(U199*MIN(1,Client_Register!$J$15/30)+T199*MIN(1,MAX(0,(Client_Register!$J$15-30)/30))+S199*MIN(1,MAX(0,(Client_Register!$J$15-60)/30))))</f>
        <v>104195</v>
      </c>
      <c r="V200" s="60" t="n">
        <f aca="false">IF(V$5="A",Inputs_Actuals!V121,U201+V199-(V199*MIN(1,Client_Register!$J$15/30)+U199*MIN(1,MAX(0,(Client_Register!$J$15-30)/30))+T199*MIN(1,MAX(0,(Client_Register!$J$15-60)/30))))</f>
        <v>109100</v>
      </c>
      <c r="W200" s="60" t="n">
        <f aca="false">IF(W$5="A",Inputs_Actuals!W121,V201+W199-(W199*MIN(1,Client_Register!$J$15/30)+V199*MIN(1,MAX(0,(Client_Register!$J$15-30)/30))+U199*MIN(1,MAX(0,(Client_Register!$J$15-60)/30))))</f>
        <v>109100</v>
      </c>
      <c r="X200" s="60" t="n">
        <f aca="false">IF(X$5="A",Inputs_Actuals!X121,W201+X199-(X199*MIN(1,Client_Register!$J$15/30)+W199*MIN(1,MAX(0,(Client_Register!$J$15-30)/30))+V199*MIN(1,MAX(0,(Client_Register!$J$15-60)/30))))</f>
        <v>104195</v>
      </c>
      <c r="Y200" s="60" t="n">
        <f aca="false">IF(Y$5="A",Inputs_Actuals!Y121,X201+Y199-(Y199*MIN(1,Client_Register!$J$15/30)+X199*MIN(1,MAX(0,(Client_Register!$J$15-30)/30))+W199*MIN(1,MAX(0,(Client_Register!$J$15-60)/30))))</f>
        <v>85342.5</v>
      </c>
      <c r="Z200" s="60" t="n">
        <f aca="false">IF(Z$5="A",Inputs_Actuals!Z121,Y201+Z199-(Z199*MIN(1,Client_Register!$J$15/30)+Y199*MIN(1,MAX(0,(Client_Register!$J$15-30)/30))+X199*MIN(1,MAX(0,(Client_Register!$J$15-60)/30))))</f>
        <v>89757</v>
      </c>
      <c r="AA200" s="60" t="n">
        <f aca="false">IF(AA$5="A",Inputs_Actuals!AA121,Z201+AA199-(AA199*MIN(1,Client_Register!$J$15/30)+Z199*MIN(1,MAX(0,(Client_Register!$J$15-30)/30))+Y199*MIN(1,MAX(0,(Client_Register!$J$15-60)/30))))</f>
        <v>98586</v>
      </c>
      <c r="AB200" s="60" t="n">
        <f aca="false">IF(AB$5="A",Inputs_Actuals!AB121,AA201+AB199-(AB199*MIN(1,Client_Register!$J$15/30)+AA199*MIN(1,MAX(0,(Client_Register!$J$15-30)/30))+Z199*MIN(1,MAX(0,(Client_Register!$J$15-60)/30))))</f>
        <v>107415</v>
      </c>
    </row>
    <row r="201" customFormat="false" ht="15" hidden="false" customHeight="false" outlineLevel="0" collapsed="false">
      <c r="A201" s="68" t="s">
        <v>719</v>
      </c>
      <c r="B201" s="69" t="s">
        <v>720</v>
      </c>
      <c r="C201" s="70" t="n">
        <f aca="false">P201</f>
        <v>272155</v>
      </c>
      <c r="D201" s="70" t="n">
        <f aca="false">AB201</f>
        <v>245731.5</v>
      </c>
      <c r="E201" s="74" t="n">
        <f aca="false">Client_Register!$T$15+E199-E200</f>
        <v>230332.14</v>
      </c>
      <c r="F201" s="70" t="n">
        <f aca="false">E201+F199-F200</f>
        <v>164820.36</v>
      </c>
      <c r="G201" s="70" t="n">
        <f aca="false">F201+G199-G200</f>
        <v>192834.15</v>
      </c>
      <c r="H201" s="70" t="n">
        <f aca="false">G201+H199-H200</f>
        <v>195154.6</v>
      </c>
      <c r="I201" s="70" t="n">
        <f aca="false">H201+I199-I200</f>
        <v>206887.68</v>
      </c>
      <c r="J201" s="70" t="n">
        <f aca="false">I201+J199-J200</f>
        <v>233071.31</v>
      </c>
      <c r="K201" s="70" t="n">
        <f aca="false">J201+K199-K200</f>
        <v>207348.68</v>
      </c>
      <c r="L201" s="70" t="n">
        <f aca="false">K201+L199-L200</f>
        <v>226826.11</v>
      </c>
      <c r="M201" s="70" t="n">
        <f aca="false">L201+M199-M200</f>
        <v>218489.33</v>
      </c>
      <c r="N201" s="70" t="n">
        <f aca="false">M201+N199-N200</f>
        <v>228010</v>
      </c>
      <c r="O201" s="70" t="n">
        <f aca="false">N201+O199-O200</f>
        <v>262345</v>
      </c>
      <c r="P201" s="70" t="n">
        <f aca="false">O201+P199-P200</f>
        <v>272155</v>
      </c>
      <c r="Q201" s="70" t="n">
        <f aca="false">P201+Q199-Q200</f>
        <v>223105</v>
      </c>
      <c r="R201" s="70" t="n">
        <f aca="false">Q201+R199-R200</f>
        <v>188770</v>
      </c>
      <c r="S201" s="70" t="n">
        <f aca="false">R201+S199-S200</f>
        <v>198580</v>
      </c>
      <c r="T201" s="70" t="n">
        <f aca="false">S201+T199-T200</f>
        <v>213295</v>
      </c>
      <c r="U201" s="70" t="n">
        <f aca="false">T201+U199-U200</f>
        <v>218200</v>
      </c>
      <c r="V201" s="70" t="n">
        <f aca="false">U201+V199-V200</f>
        <v>213295</v>
      </c>
      <c r="W201" s="70" t="n">
        <f aca="false">V201+W199-W200</f>
        <v>189537.5</v>
      </c>
      <c r="X201" s="70" t="n">
        <f aca="false">W201+X199-X200</f>
        <v>175099.5</v>
      </c>
      <c r="Y201" s="70" t="n">
        <f aca="false">X201+Y199-Y200</f>
        <v>188343</v>
      </c>
      <c r="Z201" s="70" t="n">
        <f aca="false">Y201+Z199-Z200</f>
        <v>206001</v>
      </c>
      <c r="AA201" s="70" t="n">
        <f aca="false">Z201+AA199-AA200</f>
        <v>236902.5</v>
      </c>
      <c r="AB201" s="70" t="n">
        <f aca="false">AA201+AB199-AB200</f>
        <v>245731.5</v>
      </c>
    </row>
    <row r="202" customFormat="false" ht="15" hidden="false" customHeight="false" outlineLevel="0" collapsed="false">
      <c r="A202" s="28" t="s">
        <v>721</v>
      </c>
      <c r="B202" s="58" t="s">
        <v>722</v>
      </c>
      <c r="C202" s="59" t="n">
        <f aca="false">P202</f>
        <v>0</v>
      </c>
      <c r="D202" s="59" t="n">
        <f aca="false">AB202</f>
        <v>0</v>
      </c>
      <c r="E202" s="60" t="n">
        <f aca="false">Client_Register!$U$15+E190-(E197-E196)</f>
        <v>0</v>
      </c>
      <c r="F202" s="71" t="n">
        <f aca="false">E202+F190-(F197-F196)</f>
        <v>0</v>
      </c>
      <c r="G202" s="71" t="n">
        <f aca="false">F202+G190-(G197-G196)</f>
        <v>0</v>
      </c>
      <c r="H202" s="71" t="n">
        <f aca="false">G202+H190-(H197-H196)</f>
        <v>0</v>
      </c>
      <c r="I202" s="71" t="n">
        <f aca="false">H202+I190-(I197-I196)</f>
        <v>0</v>
      </c>
      <c r="J202" s="71" t="n">
        <f aca="false">I202+J190-(J197-J196)</f>
        <v>0</v>
      </c>
      <c r="K202" s="71" t="n">
        <f aca="false">J202+K190-(K197-K196)</f>
        <v>0</v>
      </c>
      <c r="L202" s="71" t="n">
        <f aca="false">K202+L190-(L197-L196)</f>
        <v>0</v>
      </c>
      <c r="M202" s="71" t="n">
        <f aca="false">L202+M190-(M197-M196)</f>
        <v>0</v>
      </c>
      <c r="N202" s="71" t="n">
        <f aca="false">M202+N190-(N197-N196)</f>
        <v>0</v>
      </c>
      <c r="O202" s="71" t="n">
        <f aca="false">N202+O190-(O197-O196)</f>
        <v>0</v>
      </c>
      <c r="P202" s="71" t="n">
        <f aca="false">O202+P190-(P197-P196)</f>
        <v>0</v>
      </c>
      <c r="Q202" s="71" t="n">
        <f aca="false">P202+Q190-(Q197-Q196)</f>
        <v>0</v>
      </c>
      <c r="R202" s="71" t="n">
        <f aca="false">Q202+R190-(R197-R196)</f>
        <v>0</v>
      </c>
      <c r="S202" s="71" t="n">
        <f aca="false">R202+S190-(S197-S196)</f>
        <v>0</v>
      </c>
      <c r="T202" s="71" t="n">
        <f aca="false">S202+T190-(T197-T196)</f>
        <v>0</v>
      </c>
      <c r="U202" s="71" t="n">
        <f aca="false">T202+U190-(U197-U196)</f>
        <v>0</v>
      </c>
      <c r="V202" s="71" t="n">
        <f aca="false">U202+V190-(V197-V196)</f>
        <v>0</v>
      </c>
      <c r="W202" s="71" t="n">
        <f aca="false">V202+W190-(W197-W196)</f>
        <v>0</v>
      </c>
      <c r="X202" s="71" t="n">
        <f aca="false">W202+X190-(X197-X196)</f>
        <v>0</v>
      </c>
      <c r="Y202" s="71" t="n">
        <f aca="false">X202+Y190-(Y197-Y196)</f>
        <v>0</v>
      </c>
      <c r="Z202" s="71" t="n">
        <f aca="false">Y202+Z190-(Z197-Z196)</f>
        <v>0</v>
      </c>
      <c r="AA202" s="71" t="n">
        <f aca="false">Z202+AA190-(AA197-AA196)</f>
        <v>0</v>
      </c>
      <c r="AB202" s="71" t="n">
        <f aca="false">AA202+AB190-(AB197-AB196)</f>
        <v>0</v>
      </c>
    </row>
    <row r="203" customFormat="false" ht="15" hidden="false" customHeight="false" outlineLevel="0" collapsed="false">
      <c r="A203" s="28" t="s">
        <v>723</v>
      </c>
      <c r="B203" s="58"/>
      <c r="C203" s="59" t="n">
        <f aca="false">P203</f>
        <v>234697.30941704</v>
      </c>
      <c r="D203" s="59" t="n">
        <f aca="false">AB203</f>
        <v>211910.572611245</v>
      </c>
      <c r="E203" s="60" t="n">
        <f aca="false">E201/FX!E12</f>
        <v>193247.87314372</v>
      </c>
      <c r="F203" s="60" t="n">
        <f aca="false">F201/FX!F12</f>
        <v>139619.110546379</v>
      </c>
      <c r="G203" s="60" t="n">
        <f aca="false">G201/FX!G12</f>
        <v>167711.036702035</v>
      </c>
      <c r="H203" s="60" t="n">
        <f aca="false">H201/FX!H12</f>
        <v>166770.295675953</v>
      </c>
      <c r="I203" s="60" t="n">
        <f aca="false">I201/FX!I12</f>
        <v>177677.499141189</v>
      </c>
      <c r="J203" s="60" t="n">
        <f aca="false">J201/FX!J12</f>
        <v>204556.178690539</v>
      </c>
      <c r="K203" s="60" t="n">
        <f aca="false">K201/FX!K12</f>
        <v>180538.68524162</v>
      </c>
      <c r="L203" s="60" t="n">
        <f aca="false">L201/FX!L12</f>
        <v>195607.200758882</v>
      </c>
      <c r="M203" s="60" t="n">
        <f aca="false">M201/FX!M12</f>
        <v>188417.842359434</v>
      </c>
      <c r="N203" s="60" t="n">
        <f aca="false">N201/FX!N12</f>
        <v>196628.147637116</v>
      </c>
      <c r="O203" s="60" t="n">
        <f aca="false">O201/FX!O12</f>
        <v>226237.495688168</v>
      </c>
      <c r="P203" s="60" t="n">
        <f aca="false">P201/FX!P12</f>
        <v>234697.30941704</v>
      </c>
      <c r="Q203" s="60" t="n">
        <f aca="false">Q201/FX!Q12</f>
        <v>192398.24077268</v>
      </c>
      <c r="R203" s="60" t="n">
        <f aca="false">R201/FX!R12</f>
        <v>162788.892721628</v>
      </c>
      <c r="S203" s="60" t="n">
        <f aca="false">S201/FX!S12</f>
        <v>171248.7064505</v>
      </c>
      <c r="T203" s="60" t="n">
        <f aca="false">T201/FX!T12</f>
        <v>183938.427043808</v>
      </c>
      <c r="U203" s="60" t="n">
        <f aca="false">U201/FX!U12</f>
        <v>188168.333908244</v>
      </c>
      <c r="V203" s="60" t="n">
        <f aca="false">V201/FX!V12</f>
        <v>183938.427043808</v>
      </c>
      <c r="W203" s="60" t="n">
        <f aca="false">W201/FX!W12</f>
        <v>163450.758882373</v>
      </c>
      <c r="X203" s="60" t="n">
        <f aca="false">X201/FX!X12</f>
        <v>150999.913763367</v>
      </c>
      <c r="Y203" s="60" t="n">
        <f aca="false">Y201/FX!Y12</f>
        <v>162420.662297344</v>
      </c>
      <c r="Z203" s="60" t="n">
        <f aca="false">Z201/FX!Z12</f>
        <v>177648.327009314</v>
      </c>
      <c r="AA203" s="60" t="n">
        <f aca="false">AA201/FX!AA12</f>
        <v>204296.74025526</v>
      </c>
      <c r="AB203" s="60" t="n">
        <f aca="false">AB201/FX!AB12</f>
        <v>211910.572611245</v>
      </c>
    </row>
    <row r="204" customFormat="false" ht="15" hidden="false" customHeight="false" outlineLevel="0" collapsed="false">
      <c r="A204" s="28" t="s">
        <v>724</v>
      </c>
      <c r="B204" s="58"/>
      <c r="C204" s="66" t="n">
        <f aca="false">P204</f>
        <v>63.4690805876261</v>
      </c>
      <c r="D204" s="66" t="n">
        <f aca="false">AB204</f>
        <v>63.4601016858443</v>
      </c>
      <c r="E204" s="72" t="n">
        <f aca="false">IFERROR(E201/AVERAGE(E199:E199)*30.4,0)</f>
        <v>82.6171828143539</v>
      </c>
      <c r="F204" s="72" t="n">
        <f aca="false">IFERROR(F201/AVERAGE(E199:F199)*30.4,0)</f>
        <v>58.5364396756332</v>
      </c>
      <c r="G204" s="72" t="n">
        <f aca="false">IFERROR(G201/AVERAGE(E199:G199)*30.4,0)</f>
        <v>64.4943323091384</v>
      </c>
      <c r="H204" s="72" t="n">
        <f aca="false">IFERROR(H201/AVERAGE(F199:H199)*30.4,0)</f>
        <v>60.4312136508181</v>
      </c>
      <c r="I204" s="72" t="n">
        <f aca="false">IFERROR(I201/AVERAGE(G199:I199)*30.4,0)</f>
        <v>58.7253182611661</v>
      </c>
      <c r="J204" s="72" t="n">
        <f aca="false">IFERROR(J201/AVERAGE(H199:J199)*30.4,0)</f>
        <v>65.4622186410213</v>
      </c>
      <c r="K204" s="72" t="n">
        <f aca="false">IFERROR(K201/AVERAGE(I199:K199)*30.4,0)</f>
        <v>57.8013698015881</v>
      </c>
      <c r="L204" s="72" t="n">
        <f aca="false">IFERROR(L201/AVERAGE(J199:L199)*30.4,0)</f>
        <v>63.9795402952465</v>
      </c>
      <c r="M204" s="72" t="n">
        <f aca="false">IFERROR(M201/AVERAGE(K199:M199)*30.4,0)</f>
        <v>60.8380425724667</v>
      </c>
      <c r="N204" s="72" t="n">
        <f aca="false">IFERROR(N201/AVERAGE(L199:N199)*30.4,0)</f>
        <v>61.6317524993307</v>
      </c>
      <c r="O204" s="72" t="n">
        <f aca="false">IFERROR(O201/AVERAGE(M199:O199)*30.4,0)</f>
        <v>64.4129386584824</v>
      </c>
      <c r="P204" s="72" t="n">
        <f aca="false">IFERROR(P201/AVERAGE(N199:P199)*30.4,0)</f>
        <v>63.4690805876261</v>
      </c>
      <c r="Q204" s="72" t="n">
        <f aca="false">IFERROR(Q201/AVERAGE(O199:Q199)*30.4,0)</f>
        <v>55.511474873138</v>
      </c>
      <c r="R204" s="72" t="n">
        <f aca="false">IFERROR(R201/AVERAGE(P199:R199)*30.4,0)</f>
        <v>54.2247755834829</v>
      </c>
      <c r="S204" s="72" t="n">
        <f aca="false">IFERROR(S201/AVERAGE(Q199:S199)*30.4,0)</f>
        <v>61.8179509497722</v>
      </c>
      <c r="T204" s="72" t="n">
        <f aca="false">IFERROR(T201/AVERAGE(R199:T199)*30.4,0)</f>
        <v>63.2231669266771</v>
      </c>
      <c r="U204" s="72" t="n">
        <f aca="false">IFERROR(U201/AVERAGE(S199:U199)*30.4,0)</f>
        <v>61.7250267528963</v>
      </c>
      <c r="V204" s="72" t="n">
        <f aca="false">IFERROR(V201/AVERAGE(T199:V199)*30.4,0)</f>
        <v>60.3374866235519</v>
      </c>
      <c r="W204" s="72" t="n">
        <f aca="false">IFERROR(W201/AVERAGE(U199:W199)*30.4,0)</f>
        <v>57.8822820308903</v>
      </c>
      <c r="X204" s="72" t="n">
        <f aca="false">IFERROR(X201/AVERAGE(V199:X199)*30.4,0)</f>
        <v>57.1764728628741</v>
      </c>
      <c r="Y204" s="72" t="n">
        <f aca="false">IFERROR(Y201/AVERAGE(W199:Y199)*30.4,0)</f>
        <v>62.7613870665417</v>
      </c>
      <c r="Z204" s="72" t="n">
        <f aca="false">IFERROR(Z201/AVERAGE(X199:Z199)*30.4,0)</f>
        <v>63.5225123242651</v>
      </c>
      <c r="AA204" s="72" t="n">
        <f aca="false">IFERROR(AA201/AVERAGE(Y199:AA199)*30.4,0)</f>
        <v>64.4001448633858</v>
      </c>
      <c r="AB204" s="72" t="n">
        <f aca="false">IFERROR(AB201/AVERAGE(Z199:AB199)*30.4,0)</f>
        <v>63.4601016858443</v>
      </c>
    </row>
    <row r="206" customFormat="false" ht="15" hidden="false" customHeight="false" outlineLevel="0" collapsed="false">
      <c r="A206" s="22" t="s">
        <v>734</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row>
    <row r="207" customFormat="false" ht="15" hidden="false" customHeight="false" outlineLevel="0" collapsed="false">
      <c r="A207" s="28" t="s">
        <v>331</v>
      </c>
      <c r="B207" s="58" t="s">
        <v>49</v>
      </c>
      <c r="C207" s="59" t="n">
        <f aca="false">SUM(E207:P207)</f>
        <v>0</v>
      </c>
      <c r="D207" s="59" t="n">
        <f aca="false">SUM(Q207:AB207)</f>
        <v>0</v>
      </c>
      <c r="E207" s="71" t="n">
        <f aca="false">0</f>
        <v>0</v>
      </c>
      <c r="F207" s="71" t="n">
        <f aca="false">0</f>
        <v>0</v>
      </c>
      <c r="G207" s="71" t="n">
        <f aca="false">0</f>
        <v>0</v>
      </c>
      <c r="H207" s="71" t="n">
        <f aca="false">0</f>
        <v>0</v>
      </c>
      <c r="I207" s="71" t="n">
        <f aca="false">0</f>
        <v>0</v>
      </c>
      <c r="J207" s="71" t="n">
        <f aca="false">0</f>
        <v>0</v>
      </c>
      <c r="K207" s="71" t="n">
        <f aca="false">0</f>
        <v>0</v>
      </c>
      <c r="L207" s="71" t="n">
        <f aca="false">0</f>
        <v>0</v>
      </c>
      <c r="M207" s="71" t="n">
        <f aca="false">0</f>
        <v>0</v>
      </c>
      <c r="N207" s="71" t="n">
        <f aca="false">0</f>
        <v>0</v>
      </c>
      <c r="O207" s="71" t="n">
        <f aca="false">0</f>
        <v>0</v>
      </c>
      <c r="P207" s="71" t="n">
        <f aca="false">0</f>
        <v>0</v>
      </c>
      <c r="Q207" s="71" t="n">
        <f aca="false">0</f>
        <v>0</v>
      </c>
      <c r="R207" s="71" t="n">
        <f aca="false">0</f>
        <v>0</v>
      </c>
      <c r="S207" s="71" t="n">
        <f aca="false">0</f>
        <v>0</v>
      </c>
      <c r="T207" s="71" t="n">
        <f aca="false">0</f>
        <v>0</v>
      </c>
      <c r="U207" s="71" t="n">
        <f aca="false">0</f>
        <v>0</v>
      </c>
      <c r="V207" s="71" t="n">
        <f aca="false">0</f>
        <v>0</v>
      </c>
      <c r="W207" s="71" t="n">
        <f aca="false">0</f>
        <v>0</v>
      </c>
      <c r="X207" s="71" t="n">
        <f aca="false">0</f>
        <v>0</v>
      </c>
      <c r="Y207" s="71" t="n">
        <f aca="false">0</f>
        <v>0</v>
      </c>
      <c r="Z207" s="71" t="n">
        <f aca="false">0</f>
        <v>0</v>
      </c>
      <c r="AA207" s="71" t="n">
        <f aca="false">0</f>
        <v>0</v>
      </c>
      <c r="AB207" s="71" t="n">
        <f aca="false">0</f>
        <v>0</v>
      </c>
    </row>
    <row r="208" customFormat="false" ht="15" hidden="false" customHeight="false" outlineLevel="0" collapsed="false">
      <c r="A208" s="28" t="s">
        <v>700</v>
      </c>
      <c r="B208" s="58" t="s">
        <v>51</v>
      </c>
      <c r="C208" s="59" t="n">
        <f aca="false">SUM(E208:P208)</f>
        <v>226500</v>
      </c>
      <c r="D208" s="59" t="n">
        <f aca="false">SUM(Q208:AB208)</f>
        <v>0</v>
      </c>
      <c r="E208" s="60" t="n">
        <f aca="false">Projects!E72</f>
        <v>0</v>
      </c>
      <c r="F208" s="60" t="n">
        <f aca="false">Projects!F72</f>
        <v>6829.57</v>
      </c>
      <c r="G208" s="60" t="n">
        <f aca="false">Projects!G72</f>
        <v>20917.82</v>
      </c>
      <c r="H208" s="60" t="n">
        <f aca="false">Projects!H72</f>
        <v>28605.65</v>
      </c>
      <c r="I208" s="60" t="n">
        <f aca="false">Projects!I72</f>
        <v>37086.92</v>
      </c>
      <c r="J208" s="60" t="n">
        <f aca="false">Projects!J72</f>
        <v>36431.02</v>
      </c>
      <c r="K208" s="60" t="n">
        <f aca="false">Projects!K72</f>
        <v>30522.26</v>
      </c>
      <c r="L208" s="60" t="n">
        <f aca="false">Projects!L72</f>
        <v>30580.81</v>
      </c>
      <c r="M208" s="60" t="n">
        <f aca="false">Projects!M72</f>
        <v>25872.1594694179</v>
      </c>
      <c r="N208" s="60" t="n">
        <f aca="false">Projects!N72</f>
        <v>9653.7905305821</v>
      </c>
      <c r="O208" s="60" t="n">
        <f aca="false">Projects!O72</f>
        <v>0</v>
      </c>
      <c r="P208" s="60" t="n">
        <f aca="false">Projects!P72</f>
        <v>0</v>
      </c>
      <c r="Q208" s="60" t="n">
        <f aca="false">Projects!Q72</f>
        <v>0</v>
      </c>
      <c r="R208" s="60" t="n">
        <f aca="false">Projects!R72</f>
        <v>0</v>
      </c>
      <c r="S208" s="60" t="n">
        <f aca="false">Projects!S72</f>
        <v>0</v>
      </c>
      <c r="T208" s="60" t="n">
        <f aca="false">Projects!T72</f>
        <v>0</v>
      </c>
      <c r="U208" s="60" t="n">
        <f aca="false">Projects!U72</f>
        <v>0</v>
      </c>
      <c r="V208" s="60" t="n">
        <f aca="false">Projects!V72</f>
        <v>0</v>
      </c>
      <c r="W208" s="60" t="n">
        <f aca="false">Projects!W72</f>
        <v>0</v>
      </c>
      <c r="X208" s="60" t="n">
        <f aca="false">Projects!X72</f>
        <v>0</v>
      </c>
      <c r="Y208" s="60" t="n">
        <f aca="false">Projects!Y72</f>
        <v>0</v>
      </c>
      <c r="Z208" s="60" t="n">
        <f aca="false">Projects!Z72</f>
        <v>0</v>
      </c>
      <c r="AA208" s="60" t="n">
        <f aca="false">Projects!AA72</f>
        <v>0</v>
      </c>
      <c r="AB208" s="60" t="n">
        <f aca="false">Projects!AB72</f>
        <v>0</v>
      </c>
    </row>
    <row r="209" customFormat="false" ht="15" hidden="false" customHeight="false" outlineLevel="0" collapsed="false">
      <c r="A209" s="28" t="s">
        <v>333</v>
      </c>
      <c r="B209" s="58" t="s">
        <v>53</v>
      </c>
      <c r="C209" s="59" t="n">
        <f aca="false">SUM(E209:P209)</f>
        <v>0</v>
      </c>
      <c r="D209" s="59" t="n">
        <f aca="false">SUM(Q209:AB209)</f>
        <v>0</v>
      </c>
      <c r="E209" s="71" t="n">
        <f aca="false">0</f>
        <v>0</v>
      </c>
      <c r="F209" s="71" t="n">
        <f aca="false">0</f>
        <v>0</v>
      </c>
      <c r="G209" s="71" t="n">
        <f aca="false">0</f>
        <v>0</v>
      </c>
      <c r="H209" s="71" t="n">
        <f aca="false">0</f>
        <v>0</v>
      </c>
      <c r="I209" s="71" t="n">
        <f aca="false">0</f>
        <v>0</v>
      </c>
      <c r="J209" s="71" t="n">
        <f aca="false">0</f>
        <v>0</v>
      </c>
      <c r="K209" s="71" t="n">
        <f aca="false">0</f>
        <v>0</v>
      </c>
      <c r="L209" s="71" t="n">
        <f aca="false">0</f>
        <v>0</v>
      </c>
      <c r="M209" s="71" t="n">
        <f aca="false">0</f>
        <v>0</v>
      </c>
      <c r="N209" s="71" t="n">
        <f aca="false">0</f>
        <v>0</v>
      </c>
      <c r="O209" s="71" t="n">
        <f aca="false">0</f>
        <v>0</v>
      </c>
      <c r="P209" s="71" t="n">
        <f aca="false">0</f>
        <v>0</v>
      </c>
      <c r="Q209" s="71" t="n">
        <f aca="false">0</f>
        <v>0</v>
      </c>
      <c r="R209" s="71" t="n">
        <f aca="false">0</f>
        <v>0</v>
      </c>
      <c r="S209" s="71" t="n">
        <f aca="false">0</f>
        <v>0</v>
      </c>
      <c r="T209" s="71" t="n">
        <f aca="false">0</f>
        <v>0</v>
      </c>
      <c r="U209" s="71" t="n">
        <f aca="false">0</f>
        <v>0</v>
      </c>
      <c r="V209" s="71" t="n">
        <f aca="false">0</f>
        <v>0</v>
      </c>
      <c r="W209" s="71" t="n">
        <f aca="false">0</f>
        <v>0</v>
      </c>
      <c r="X209" s="71" t="n">
        <f aca="false">0</f>
        <v>0</v>
      </c>
      <c r="Y209" s="71" t="n">
        <f aca="false">0</f>
        <v>0</v>
      </c>
      <c r="Z209" s="71" t="n">
        <f aca="false">0</f>
        <v>0</v>
      </c>
      <c r="AA209" s="71" t="n">
        <f aca="false">0</f>
        <v>0</v>
      </c>
      <c r="AB209" s="71" t="n">
        <f aca="false">0</f>
        <v>0</v>
      </c>
    </row>
    <row r="210" customFormat="false" ht="15" hidden="false" customHeight="false" outlineLevel="0" collapsed="false">
      <c r="A210" s="28" t="s">
        <v>334</v>
      </c>
      <c r="B210" s="58" t="s">
        <v>53</v>
      </c>
      <c r="C210" s="59" t="n">
        <f aca="false">SUM(E210:P210)</f>
        <v>0</v>
      </c>
      <c r="D210" s="59" t="n">
        <f aca="false">SUM(Q210:AB210)</f>
        <v>0</v>
      </c>
      <c r="E210" s="71" t="n">
        <f aca="false">0</f>
        <v>0</v>
      </c>
      <c r="F210" s="71" t="n">
        <f aca="false">0</f>
        <v>0</v>
      </c>
      <c r="G210" s="71" t="n">
        <f aca="false">0</f>
        <v>0</v>
      </c>
      <c r="H210" s="71" t="n">
        <f aca="false">0</f>
        <v>0</v>
      </c>
      <c r="I210" s="71" t="n">
        <f aca="false">0</f>
        <v>0</v>
      </c>
      <c r="J210" s="71" t="n">
        <f aca="false">0</f>
        <v>0</v>
      </c>
      <c r="K210" s="71" t="n">
        <f aca="false">0</f>
        <v>0</v>
      </c>
      <c r="L210" s="71" t="n">
        <f aca="false">0</f>
        <v>0</v>
      </c>
      <c r="M210" s="71" t="n">
        <f aca="false">0</f>
        <v>0</v>
      </c>
      <c r="N210" s="71" t="n">
        <f aca="false">0</f>
        <v>0</v>
      </c>
      <c r="O210" s="71" t="n">
        <f aca="false">0</f>
        <v>0</v>
      </c>
      <c r="P210" s="71" t="n">
        <f aca="false">0</f>
        <v>0</v>
      </c>
      <c r="Q210" s="71" t="n">
        <f aca="false">0</f>
        <v>0</v>
      </c>
      <c r="R210" s="71" t="n">
        <f aca="false">0</f>
        <v>0</v>
      </c>
      <c r="S210" s="71" t="n">
        <f aca="false">0</f>
        <v>0</v>
      </c>
      <c r="T210" s="71" t="n">
        <f aca="false">0</f>
        <v>0</v>
      </c>
      <c r="U210" s="71" t="n">
        <f aca="false">0</f>
        <v>0</v>
      </c>
      <c r="V210" s="71" t="n">
        <f aca="false">0</f>
        <v>0</v>
      </c>
      <c r="W210" s="71" t="n">
        <f aca="false">0</f>
        <v>0</v>
      </c>
      <c r="X210" s="71" t="n">
        <f aca="false">0</f>
        <v>0</v>
      </c>
      <c r="Y210" s="71" t="n">
        <f aca="false">0</f>
        <v>0</v>
      </c>
      <c r="Z210" s="71" t="n">
        <f aca="false">0</f>
        <v>0</v>
      </c>
      <c r="AA210" s="71" t="n">
        <f aca="false">0</f>
        <v>0</v>
      </c>
      <c r="AB210" s="71" t="n">
        <f aca="false">0</f>
        <v>0</v>
      </c>
    </row>
    <row r="211" customFormat="false" ht="15" hidden="false" customHeight="false" outlineLevel="0" collapsed="false">
      <c r="A211" s="28" t="s">
        <v>701</v>
      </c>
      <c r="B211" s="58" t="s">
        <v>51</v>
      </c>
      <c r="C211" s="59" t="n">
        <f aca="false">SUM(E211:P211)</f>
        <v>0</v>
      </c>
      <c r="D211" s="59" t="n">
        <f aca="false">SUM(Q211:AB211)</f>
        <v>0</v>
      </c>
      <c r="E211" s="71" t="n">
        <f aca="false">0</f>
        <v>0</v>
      </c>
      <c r="F211" s="71" t="n">
        <f aca="false">0</f>
        <v>0</v>
      </c>
      <c r="G211" s="71" t="n">
        <f aca="false">0</f>
        <v>0</v>
      </c>
      <c r="H211" s="71" t="n">
        <f aca="false">0</f>
        <v>0</v>
      </c>
      <c r="I211" s="71" t="n">
        <f aca="false">0</f>
        <v>0</v>
      </c>
      <c r="J211" s="71" t="n">
        <f aca="false">0</f>
        <v>0</v>
      </c>
      <c r="K211" s="71" t="n">
        <f aca="false">0</f>
        <v>0</v>
      </c>
      <c r="L211" s="71" t="n">
        <f aca="false">0</f>
        <v>0</v>
      </c>
      <c r="M211" s="71" t="n">
        <f aca="false">0</f>
        <v>0</v>
      </c>
      <c r="N211" s="71" t="n">
        <f aca="false">0</f>
        <v>0</v>
      </c>
      <c r="O211" s="71" t="n">
        <f aca="false">0</f>
        <v>0</v>
      </c>
      <c r="P211" s="71" t="n">
        <f aca="false">0</f>
        <v>0</v>
      </c>
      <c r="Q211" s="71" t="n">
        <f aca="false">0</f>
        <v>0</v>
      </c>
      <c r="R211" s="71" t="n">
        <f aca="false">0</f>
        <v>0</v>
      </c>
      <c r="S211" s="71" t="n">
        <f aca="false">0</f>
        <v>0</v>
      </c>
      <c r="T211" s="71" t="n">
        <f aca="false">0</f>
        <v>0</v>
      </c>
      <c r="U211" s="71" t="n">
        <f aca="false">0</f>
        <v>0</v>
      </c>
      <c r="V211" s="71" t="n">
        <f aca="false">0</f>
        <v>0</v>
      </c>
      <c r="W211" s="71" t="n">
        <f aca="false">0</f>
        <v>0</v>
      </c>
      <c r="X211" s="71" t="n">
        <f aca="false">0</f>
        <v>0</v>
      </c>
      <c r="Y211" s="71" t="n">
        <f aca="false">0</f>
        <v>0</v>
      </c>
      <c r="Z211" s="71" t="n">
        <f aca="false">0</f>
        <v>0</v>
      </c>
      <c r="AA211" s="71" t="n">
        <f aca="false">0</f>
        <v>0</v>
      </c>
      <c r="AB211" s="71" t="n">
        <f aca="false">0</f>
        <v>0</v>
      </c>
    </row>
    <row r="212" customFormat="false" ht="15" hidden="false" customHeight="false" outlineLevel="0" collapsed="false">
      <c r="A212" s="68" t="s">
        <v>732</v>
      </c>
      <c r="B212" s="69"/>
      <c r="C212" s="70" t="n">
        <f aca="false">SUM(E212:P212)</f>
        <v>226500</v>
      </c>
      <c r="D212" s="70" t="n">
        <f aca="false">SUM(Q212:AB212)</f>
        <v>0</v>
      </c>
      <c r="E212" s="70" t="n">
        <f aca="false">SUM(E207:E211)</f>
        <v>0</v>
      </c>
      <c r="F212" s="70" t="n">
        <f aca="false">SUM(F207:F211)</f>
        <v>6829.57</v>
      </c>
      <c r="G212" s="70" t="n">
        <f aca="false">SUM(G207:G211)</f>
        <v>20917.82</v>
      </c>
      <c r="H212" s="70" t="n">
        <f aca="false">SUM(H207:H211)</f>
        <v>28605.65</v>
      </c>
      <c r="I212" s="70" t="n">
        <f aca="false">SUM(I207:I211)</f>
        <v>37086.92</v>
      </c>
      <c r="J212" s="70" t="n">
        <f aca="false">SUM(J207:J211)</f>
        <v>36431.02</v>
      </c>
      <c r="K212" s="70" t="n">
        <f aca="false">SUM(K207:K211)</f>
        <v>30522.26</v>
      </c>
      <c r="L212" s="70" t="n">
        <f aca="false">SUM(L207:L211)</f>
        <v>30580.81</v>
      </c>
      <c r="M212" s="70" t="n">
        <f aca="false">SUM(M207:M211)</f>
        <v>25872.1594694179</v>
      </c>
      <c r="N212" s="70" t="n">
        <f aca="false">SUM(N207:N211)</f>
        <v>9653.7905305821</v>
      </c>
      <c r="O212" s="70" t="n">
        <f aca="false">SUM(O207:O211)</f>
        <v>0</v>
      </c>
      <c r="P212" s="70" t="n">
        <f aca="false">SUM(P207:P211)</f>
        <v>0</v>
      </c>
      <c r="Q212" s="70" t="n">
        <f aca="false">SUM(Q207:Q211)</f>
        <v>0</v>
      </c>
      <c r="R212" s="70" t="n">
        <f aca="false">SUM(R207:R211)</f>
        <v>0</v>
      </c>
      <c r="S212" s="70" t="n">
        <f aca="false">SUM(S207:S211)</f>
        <v>0</v>
      </c>
      <c r="T212" s="70" t="n">
        <f aca="false">SUM(T207:T211)</f>
        <v>0</v>
      </c>
      <c r="U212" s="70" t="n">
        <f aca="false">SUM(U207:U211)</f>
        <v>0</v>
      </c>
      <c r="V212" s="70" t="n">
        <f aca="false">SUM(V207:V211)</f>
        <v>0</v>
      </c>
      <c r="W212" s="70" t="n">
        <f aca="false">SUM(W207:W211)</f>
        <v>0</v>
      </c>
      <c r="X212" s="70" t="n">
        <f aca="false">SUM(X207:X211)</f>
        <v>0</v>
      </c>
      <c r="Y212" s="70" t="n">
        <f aca="false">SUM(Y207:Y211)</f>
        <v>0</v>
      </c>
      <c r="Z212" s="70" t="n">
        <f aca="false">SUM(Z207:Z211)</f>
        <v>0</v>
      </c>
      <c r="AA212" s="70" t="n">
        <f aca="false">SUM(AA207:AA211)</f>
        <v>0</v>
      </c>
      <c r="AB212" s="70" t="n">
        <f aca="false">SUM(AB207:AB211)</f>
        <v>0</v>
      </c>
    </row>
    <row r="213" customFormat="false" ht="15" hidden="false" customHeight="false" outlineLevel="0" collapsed="false">
      <c r="A213" s="28" t="s">
        <v>703</v>
      </c>
      <c r="B213" s="58"/>
      <c r="C213" s="59" t="n">
        <f aca="false">SUM(E213:P213)</f>
        <v>195585.431360289</v>
      </c>
      <c r="D213" s="59" t="n">
        <f aca="false">SUM(Q213:AB213)</f>
        <v>0</v>
      </c>
      <c r="E213" s="60" t="n">
        <f aca="false">E212/FX!E11</f>
        <v>0</v>
      </c>
      <c r="F213" s="60" t="n">
        <f aca="false">F212/FX!F11</f>
        <v>5757.51981116169</v>
      </c>
      <c r="G213" s="60" t="n">
        <f aca="false">G212/FX!G11</f>
        <v>17952.8987683989</v>
      </c>
      <c r="H213" s="60" t="n">
        <f aca="false">H212/FX!H11</f>
        <v>24660.0431034483</v>
      </c>
      <c r="I213" s="60" t="n">
        <f aca="false">I212/FX!I11</f>
        <v>31771.5411633685</v>
      </c>
      <c r="J213" s="60" t="n">
        <f aca="false">J212/FX!J11</f>
        <v>31626.8946957201</v>
      </c>
      <c r="K213" s="60" t="n">
        <f aca="false">K212/FX!K11</f>
        <v>26681.4633506709</v>
      </c>
      <c r="L213" s="60" t="n">
        <f aca="false">L212/FX!L11</f>
        <v>26498.6872319224</v>
      </c>
      <c r="M213" s="60" t="n">
        <f aca="false">M212/FX!M11</f>
        <v>22311.2792940823</v>
      </c>
      <c r="N213" s="60" t="n">
        <f aca="false">N212/FX!N11</f>
        <v>8325.10394151613</v>
      </c>
      <c r="O213" s="60" t="n">
        <f aca="false">O212/FX!O11</f>
        <v>0</v>
      </c>
      <c r="P213" s="60" t="n">
        <f aca="false">P212/FX!P11</f>
        <v>0</v>
      </c>
      <c r="Q213" s="60" t="n">
        <f aca="false">Q212/FX!Q11</f>
        <v>0</v>
      </c>
      <c r="R213" s="60" t="n">
        <f aca="false">R212/FX!R11</f>
        <v>0</v>
      </c>
      <c r="S213" s="60" t="n">
        <f aca="false">S212/FX!S11</f>
        <v>0</v>
      </c>
      <c r="T213" s="60" t="n">
        <f aca="false">T212/FX!T11</f>
        <v>0</v>
      </c>
      <c r="U213" s="60" t="n">
        <f aca="false">U212/FX!U11</f>
        <v>0</v>
      </c>
      <c r="V213" s="60" t="n">
        <f aca="false">V212/FX!V11</f>
        <v>0</v>
      </c>
      <c r="W213" s="60" t="n">
        <f aca="false">W212/FX!W11</f>
        <v>0</v>
      </c>
      <c r="X213" s="60" t="n">
        <f aca="false">X212/FX!X11</f>
        <v>0</v>
      </c>
      <c r="Y213" s="60" t="n">
        <f aca="false">Y212/FX!Y11</f>
        <v>0</v>
      </c>
      <c r="Z213" s="60" t="n">
        <f aca="false">Z212/FX!Z11</f>
        <v>0</v>
      </c>
      <c r="AA213" s="60" t="n">
        <f aca="false">AA212/FX!AA11</f>
        <v>0</v>
      </c>
      <c r="AB213" s="60" t="n">
        <f aca="false">AB212/FX!AB11</f>
        <v>0</v>
      </c>
    </row>
    <row r="214" customFormat="false" ht="15" hidden="false" customHeight="false" outlineLevel="0" collapsed="false">
      <c r="A214" s="28" t="s">
        <v>704</v>
      </c>
      <c r="B214" s="58" t="s">
        <v>51</v>
      </c>
      <c r="C214" s="59" t="n">
        <f aca="false">SUM(E214:P214)</f>
        <v>0</v>
      </c>
      <c r="D214" s="59" t="n">
        <f aca="false">SUM(Q214:AB214)</f>
        <v>0</v>
      </c>
      <c r="E214" s="71" t="n">
        <f aca="false">0</f>
        <v>0</v>
      </c>
      <c r="F214" s="71" t="n">
        <f aca="false">0</f>
        <v>0</v>
      </c>
      <c r="G214" s="71" t="n">
        <f aca="false">0</f>
        <v>0</v>
      </c>
      <c r="H214" s="71" t="n">
        <f aca="false">0</f>
        <v>0</v>
      </c>
      <c r="I214" s="71" t="n">
        <f aca="false">0</f>
        <v>0</v>
      </c>
      <c r="J214" s="71" t="n">
        <f aca="false">0</f>
        <v>0</v>
      </c>
      <c r="K214" s="71" t="n">
        <f aca="false">0</f>
        <v>0</v>
      </c>
      <c r="L214" s="71" t="n">
        <f aca="false">0</f>
        <v>0</v>
      </c>
      <c r="M214" s="71" t="n">
        <f aca="false">0</f>
        <v>0</v>
      </c>
      <c r="N214" s="71" t="n">
        <f aca="false">0</f>
        <v>0</v>
      </c>
      <c r="O214" s="71" t="n">
        <f aca="false">0</f>
        <v>0</v>
      </c>
      <c r="P214" s="71" t="n">
        <f aca="false">0</f>
        <v>0</v>
      </c>
      <c r="Q214" s="71" t="n">
        <f aca="false">0</f>
        <v>0</v>
      </c>
      <c r="R214" s="71" t="n">
        <f aca="false">0</f>
        <v>0</v>
      </c>
      <c r="S214" s="71" t="n">
        <f aca="false">0</f>
        <v>0</v>
      </c>
      <c r="T214" s="71" t="n">
        <f aca="false">0</f>
        <v>0</v>
      </c>
      <c r="U214" s="71" t="n">
        <f aca="false">0</f>
        <v>0</v>
      </c>
      <c r="V214" s="71" t="n">
        <f aca="false">0</f>
        <v>0</v>
      </c>
      <c r="W214" s="71" t="n">
        <f aca="false">0</f>
        <v>0</v>
      </c>
      <c r="X214" s="71" t="n">
        <f aca="false">0</f>
        <v>0</v>
      </c>
      <c r="Y214" s="71" t="n">
        <f aca="false">0</f>
        <v>0</v>
      </c>
      <c r="Z214" s="71" t="n">
        <f aca="false">0</f>
        <v>0</v>
      </c>
      <c r="AA214" s="71" t="n">
        <f aca="false">0</f>
        <v>0</v>
      </c>
      <c r="AB214" s="71" t="n">
        <f aca="false">0</f>
        <v>0</v>
      </c>
    </row>
    <row r="215" customFormat="false" ht="15" hidden="false" customHeight="false" outlineLevel="0" collapsed="false">
      <c r="A215" s="68" t="s">
        <v>705</v>
      </c>
      <c r="B215" s="69" t="s">
        <v>706</v>
      </c>
      <c r="C215" s="70" t="n">
        <f aca="false">SUM(E215:P215)</f>
        <v>195585.431360289</v>
      </c>
      <c r="D215" s="70" t="n">
        <f aca="false">SUM(Q215:AB215)</f>
        <v>0</v>
      </c>
      <c r="E215" s="70" t="n">
        <f aca="false">E213-E214</f>
        <v>0</v>
      </c>
      <c r="F215" s="70" t="n">
        <f aca="false">F213-F214</f>
        <v>5757.51981116169</v>
      </c>
      <c r="G215" s="70" t="n">
        <f aca="false">G213-G214</f>
        <v>17952.8987683989</v>
      </c>
      <c r="H215" s="70" t="n">
        <f aca="false">H213-H214</f>
        <v>24660.0431034483</v>
      </c>
      <c r="I215" s="70" t="n">
        <f aca="false">I213-I214</f>
        <v>31771.5411633685</v>
      </c>
      <c r="J215" s="70" t="n">
        <f aca="false">J213-J214</f>
        <v>31626.8946957201</v>
      </c>
      <c r="K215" s="70" t="n">
        <f aca="false">K213-K214</f>
        <v>26681.4633506709</v>
      </c>
      <c r="L215" s="70" t="n">
        <f aca="false">L213-L214</f>
        <v>26498.6872319224</v>
      </c>
      <c r="M215" s="70" t="n">
        <f aca="false">M213-M214</f>
        <v>22311.2792940823</v>
      </c>
      <c r="N215" s="70" t="n">
        <f aca="false">N213-N214</f>
        <v>8325.10394151613</v>
      </c>
      <c r="O215" s="70" t="n">
        <f aca="false">O213-O214</f>
        <v>0</v>
      </c>
      <c r="P215" s="70" t="n">
        <f aca="false">P213-P214</f>
        <v>0</v>
      </c>
      <c r="Q215" s="70" t="n">
        <f aca="false">Q213-Q214</f>
        <v>0</v>
      </c>
      <c r="R215" s="70" t="n">
        <f aca="false">R213-R214</f>
        <v>0</v>
      </c>
      <c r="S215" s="70" t="n">
        <f aca="false">S213-S214</f>
        <v>0</v>
      </c>
      <c r="T215" s="70" t="n">
        <f aca="false">T213-T214</f>
        <v>0</v>
      </c>
      <c r="U215" s="70" t="n">
        <f aca="false">U213-U214</f>
        <v>0</v>
      </c>
      <c r="V215" s="70" t="n">
        <f aca="false">V213-V214</f>
        <v>0</v>
      </c>
      <c r="W215" s="70" t="n">
        <f aca="false">W213-W214</f>
        <v>0</v>
      </c>
      <c r="X215" s="70" t="n">
        <f aca="false">X213-X214</f>
        <v>0</v>
      </c>
      <c r="Y215" s="70" t="n">
        <f aca="false">Y213-Y214</f>
        <v>0</v>
      </c>
      <c r="Z215" s="70" t="n">
        <f aca="false">Z213-Z214</f>
        <v>0</v>
      </c>
      <c r="AA215" s="70" t="n">
        <f aca="false">AA213-AA214</f>
        <v>0</v>
      </c>
      <c r="AB215" s="70" t="n">
        <f aca="false">AB213-AB214</f>
        <v>0</v>
      </c>
    </row>
    <row r="216" customFormat="false" ht="15" hidden="false" customHeight="false" outlineLevel="0" collapsed="false">
      <c r="A216" s="28" t="s">
        <v>707</v>
      </c>
      <c r="B216" s="58" t="s">
        <v>708</v>
      </c>
      <c r="C216" s="66" t="n">
        <f aca="false">SUM(E216:P216)</f>
        <v>2950</v>
      </c>
      <c r="D216" s="66" t="n">
        <f aca="false">SUM(Q216:AB216)</f>
        <v>0</v>
      </c>
      <c r="E216" s="67" t="n">
        <f aca="false">Projects!E66</f>
        <v>0</v>
      </c>
      <c r="F216" s="67" t="n">
        <f aca="false">Projects!F66</f>
        <v>74.8</v>
      </c>
      <c r="G216" s="67" t="n">
        <f aca="false">Projects!G66</f>
        <v>229.1</v>
      </c>
      <c r="H216" s="67" t="n">
        <f aca="false">Projects!H66</f>
        <v>313.3</v>
      </c>
      <c r="I216" s="67" t="n">
        <f aca="false">Projects!I66</f>
        <v>455.4</v>
      </c>
      <c r="J216" s="67" t="n">
        <f aca="false">Projects!J66</f>
        <v>504.2</v>
      </c>
      <c r="K216" s="67" t="n">
        <f aca="false">Projects!K66</f>
        <v>476.8</v>
      </c>
      <c r="L216" s="67" t="n">
        <f aca="false">Projects!L66</f>
        <v>433.7</v>
      </c>
      <c r="M216" s="67" t="n">
        <f aca="false">Projects!M66</f>
        <v>336.966304347827</v>
      </c>
      <c r="N216" s="67" t="n">
        <f aca="false">Projects!N66</f>
        <v>125.733695652173</v>
      </c>
      <c r="O216" s="67" t="n">
        <f aca="false">Projects!O66</f>
        <v>0</v>
      </c>
      <c r="P216" s="67" t="n">
        <f aca="false">Projects!P66</f>
        <v>0</v>
      </c>
      <c r="Q216" s="67" t="n">
        <f aca="false">Projects!Q66</f>
        <v>0</v>
      </c>
      <c r="R216" s="67" t="n">
        <f aca="false">Projects!R66</f>
        <v>0</v>
      </c>
      <c r="S216" s="67" t="n">
        <f aca="false">Projects!S66</f>
        <v>0</v>
      </c>
      <c r="T216" s="67" t="n">
        <f aca="false">Projects!T66</f>
        <v>0</v>
      </c>
      <c r="U216" s="67" t="n">
        <f aca="false">Projects!U66</f>
        <v>0</v>
      </c>
      <c r="V216" s="67" t="n">
        <f aca="false">Projects!V66</f>
        <v>0</v>
      </c>
      <c r="W216" s="67" t="n">
        <f aca="false">Projects!W66</f>
        <v>0</v>
      </c>
      <c r="X216" s="67" t="n">
        <f aca="false">Projects!X66</f>
        <v>0</v>
      </c>
      <c r="Y216" s="67" t="n">
        <f aca="false">Projects!Y66</f>
        <v>0</v>
      </c>
      <c r="Z216" s="67" t="n">
        <f aca="false">Projects!Z66</f>
        <v>0</v>
      </c>
      <c r="AA216" s="67" t="n">
        <f aca="false">Projects!AA66</f>
        <v>0</v>
      </c>
      <c r="AB216" s="67" t="n">
        <f aca="false">Projects!AB66</f>
        <v>0</v>
      </c>
    </row>
    <row r="217" customFormat="false" ht="15" hidden="false" customHeight="false" outlineLevel="0" collapsed="false">
      <c r="A217" s="28" t="s">
        <v>709</v>
      </c>
      <c r="B217" s="58" t="s">
        <v>710</v>
      </c>
      <c r="C217" s="59" t="n">
        <f aca="false">SUM(E217:P217)</f>
        <v>156103.489988493</v>
      </c>
      <c r="D217" s="59" t="n">
        <f aca="false">SUM(Q217:AB217)</f>
        <v>0</v>
      </c>
      <c r="E217" s="60" t="n">
        <f aca="false">Projects!E66*Utilisation!E91</f>
        <v>0</v>
      </c>
      <c r="F217" s="60" t="n">
        <f aca="false">Projects!F66*Utilisation!F91</f>
        <v>3958.14950886076</v>
      </c>
      <c r="G217" s="60" t="n">
        <f aca="false">Projects!G66*Utilisation!G91</f>
        <v>12123.1557818182</v>
      </c>
      <c r="H217" s="60" t="n">
        <f aca="false">Projects!H66*Utilisation!H91</f>
        <v>16578.7198011508</v>
      </c>
      <c r="I217" s="60" t="n">
        <f aca="false">Projects!I66*Utilisation!I91</f>
        <v>24098.1455392405</v>
      </c>
      <c r="J217" s="60" t="n">
        <f aca="false">Projects!J66*Utilisation!J91</f>
        <v>26680.4676787112</v>
      </c>
      <c r="K217" s="60" t="n">
        <f aca="false">Projects!K66*Utilisation!K91</f>
        <v>25230.5572971231</v>
      </c>
      <c r="L217" s="60" t="n">
        <f aca="false">Projects!L66*Utilisation!L91</f>
        <v>22949.8588501726</v>
      </c>
      <c r="M217" s="60" t="n">
        <f aca="false">Projects!M66*Utilisation!M91</f>
        <v>17831.0563109221</v>
      </c>
      <c r="N217" s="60" t="n">
        <f aca="false">Projects!N66*Utilisation!N91</f>
        <v>6653.37922049328</v>
      </c>
      <c r="O217" s="60" t="n">
        <f aca="false">Projects!O66*Utilisation!O91</f>
        <v>0</v>
      </c>
      <c r="P217" s="60" t="n">
        <f aca="false">Projects!P66*Utilisation!P91</f>
        <v>0</v>
      </c>
      <c r="Q217" s="60" t="n">
        <f aca="false">Projects!Q66*Utilisation!Q91</f>
        <v>0</v>
      </c>
      <c r="R217" s="60" t="n">
        <f aca="false">Projects!R66*Utilisation!R91</f>
        <v>0</v>
      </c>
      <c r="S217" s="60" t="n">
        <f aca="false">Projects!S66*Utilisation!S91</f>
        <v>0</v>
      </c>
      <c r="T217" s="60" t="n">
        <f aca="false">Projects!T66*Utilisation!T91</f>
        <v>0</v>
      </c>
      <c r="U217" s="60" t="n">
        <f aca="false">Projects!U66*Utilisation!U91</f>
        <v>0</v>
      </c>
      <c r="V217" s="60" t="n">
        <f aca="false">Projects!V66*Utilisation!V91</f>
        <v>0</v>
      </c>
      <c r="W217" s="60" t="n">
        <f aca="false">Projects!W66*Utilisation!W91</f>
        <v>0</v>
      </c>
      <c r="X217" s="60" t="n">
        <f aca="false">Projects!X66*Utilisation!X91</f>
        <v>0</v>
      </c>
      <c r="Y217" s="60" t="n">
        <f aca="false">Projects!Y66*Utilisation!Y91</f>
        <v>0</v>
      </c>
      <c r="Z217" s="60" t="n">
        <f aca="false">Projects!Z66*Utilisation!Z91</f>
        <v>0</v>
      </c>
      <c r="AA217" s="60" t="n">
        <f aca="false">Projects!AA66*Utilisation!AA91</f>
        <v>0</v>
      </c>
      <c r="AB217" s="60" t="n">
        <f aca="false">Projects!AB66*Utilisation!AB91</f>
        <v>0</v>
      </c>
    </row>
    <row r="218" customFormat="false" ht="15" hidden="false" customHeight="false" outlineLevel="0" collapsed="false">
      <c r="A218" s="28" t="s">
        <v>711</v>
      </c>
      <c r="B218" s="58" t="s">
        <v>53</v>
      </c>
      <c r="C218" s="59" t="n">
        <f aca="false">SUM(E218:P218)</f>
        <v>0</v>
      </c>
      <c r="D218" s="59" t="n">
        <f aca="false">SUM(Q218:AB218)</f>
        <v>0</v>
      </c>
      <c r="E218" s="71" t="n">
        <f aca="false">0</f>
        <v>0</v>
      </c>
      <c r="F218" s="71" t="n">
        <f aca="false">0</f>
        <v>0</v>
      </c>
      <c r="G218" s="71" t="n">
        <f aca="false">0</f>
        <v>0</v>
      </c>
      <c r="H218" s="71" t="n">
        <f aca="false">0</f>
        <v>0</v>
      </c>
      <c r="I218" s="71" t="n">
        <f aca="false">0</f>
        <v>0</v>
      </c>
      <c r="J218" s="71" t="n">
        <f aca="false">0</f>
        <v>0</v>
      </c>
      <c r="K218" s="71" t="n">
        <f aca="false">0</f>
        <v>0</v>
      </c>
      <c r="L218" s="71" t="n">
        <f aca="false">0</f>
        <v>0</v>
      </c>
      <c r="M218" s="71" t="n">
        <f aca="false">0</f>
        <v>0</v>
      </c>
      <c r="N218" s="71" t="n">
        <f aca="false">0</f>
        <v>0</v>
      </c>
      <c r="O218" s="71" t="n">
        <f aca="false">0</f>
        <v>0</v>
      </c>
      <c r="P218" s="71" t="n">
        <f aca="false">0</f>
        <v>0</v>
      </c>
      <c r="Q218" s="71" t="n">
        <f aca="false">0</f>
        <v>0</v>
      </c>
      <c r="R218" s="71" t="n">
        <f aca="false">0</f>
        <v>0</v>
      </c>
      <c r="S218" s="71" t="n">
        <f aca="false">0</f>
        <v>0</v>
      </c>
      <c r="T218" s="71" t="n">
        <f aca="false">0</f>
        <v>0</v>
      </c>
      <c r="U218" s="71" t="n">
        <f aca="false">0</f>
        <v>0</v>
      </c>
      <c r="V218" s="71" t="n">
        <f aca="false">0</f>
        <v>0</v>
      </c>
      <c r="W218" s="71" t="n">
        <f aca="false">0</f>
        <v>0</v>
      </c>
      <c r="X218" s="71" t="n">
        <f aca="false">0</f>
        <v>0</v>
      </c>
      <c r="Y218" s="71" t="n">
        <f aca="false">0</f>
        <v>0</v>
      </c>
      <c r="Z218" s="71" t="n">
        <f aca="false">0</f>
        <v>0</v>
      </c>
      <c r="AA218" s="71" t="n">
        <f aca="false">0</f>
        <v>0</v>
      </c>
      <c r="AB218" s="71" t="n">
        <f aca="false">0</f>
        <v>0</v>
      </c>
    </row>
    <row r="219" customFormat="false" ht="15" hidden="false" customHeight="false" outlineLevel="0" collapsed="false">
      <c r="A219" s="28" t="s">
        <v>712</v>
      </c>
      <c r="B219" s="58" t="s">
        <v>713</v>
      </c>
      <c r="C219" s="59" t="n">
        <f aca="false">SUM(E219:P219)</f>
        <v>226500</v>
      </c>
      <c r="D219" s="59" t="n">
        <f aca="false">SUM(Q219:AB219)</f>
        <v>0</v>
      </c>
      <c r="E219" s="60" t="n">
        <f aca="false">Projects!E74+E210+E218+E211</f>
        <v>0</v>
      </c>
      <c r="F219" s="60" t="n">
        <f aca="false">Projects!F74+F210+F218+F211</f>
        <v>63000</v>
      </c>
      <c r="G219" s="60" t="n">
        <f aca="false">Projects!G74+G210+G218+G211</f>
        <v>0</v>
      </c>
      <c r="H219" s="60" t="n">
        <f aca="false">Projects!H74+H210+H218+H211</f>
        <v>0</v>
      </c>
      <c r="I219" s="60" t="n">
        <f aca="false">Projects!I74+I210+I218+I211</f>
        <v>16500</v>
      </c>
      <c r="J219" s="60" t="n">
        <f aca="false">Projects!J74+J210+J218+J211</f>
        <v>67500</v>
      </c>
      <c r="K219" s="60" t="n">
        <f aca="false">Projects!K74+K210+K218+K211</f>
        <v>0</v>
      </c>
      <c r="L219" s="60" t="n">
        <f aca="false">Projects!L74+L210+L218+L211</f>
        <v>0</v>
      </c>
      <c r="M219" s="60" t="n">
        <f aca="false">Projects!M74+M210+M218+M211</f>
        <v>11550</v>
      </c>
      <c r="N219" s="60" t="n">
        <f aca="false">Projects!N74+N210+N218+N211</f>
        <v>67950</v>
      </c>
      <c r="O219" s="60" t="n">
        <f aca="false">Projects!O74+O210+O218+O211</f>
        <v>0</v>
      </c>
      <c r="P219" s="60" t="n">
        <f aca="false">Projects!P74+P210+P218+P211</f>
        <v>0</v>
      </c>
      <c r="Q219" s="60" t="n">
        <f aca="false">Projects!Q74+Q210+Q218+Q211</f>
        <v>0</v>
      </c>
      <c r="R219" s="60" t="n">
        <f aca="false">Projects!R74+R210+R218+R211</f>
        <v>0</v>
      </c>
      <c r="S219" s="60" t="n">
        <f aca="false">Projects!S74+S210+S218+S211</f>
        <v>0</v>
      </c>
      <c r="T219" s="60" t="n">
        <f aca="false">Projects!T74+T210+T218+T211</f>
        <v>0</v>
      </c>
      <c r="U219" s="60" t="n">
        <f aca="false">Projects!U74+U210+U218+U211</f>
        <v>0</v>
      </c>
      <c r="V219" s="60" t="n">
        <f aca="false">Projects!V74+V210+V218+V211</f>
        <v>0</v>
      </c>
      <c r="W219" s="60" t="n">
        <f aca="false">Projects!W74+W210+W218+W211</f>
        <v>0</v>
      </c>
      <c r="X219" s="60" t="n">
        <f aca="false">Projects!X74+X210+X218+X211</f>
        <v>0</v>
      </c>
      <c r="Y219" s="60" t="n">
        <f aca="false">Projects!Y74+Y210+Y218+Y211</f>
        <v>0</v>
      </c>
      <c r="Z219" s="60" t="n">
        <f aca="false">Projects!Z74+Z210+Z218+Z211</f>
        <v>0</v>
      </c>
      <c r="AA219" s="60" t="n">
        <f aca="false">Projects!AA74+AA210+AA218+AA211</f>
        <v>0</v>
      </c>
      <c r="AB219" s="60" t="n">
        <f aca="false">Projects!AB74+AB210+AB218+AB211</f>
        <v>0</v>
      </c>
    </row>
    <row r="220" customFormat="false" ht="15" hidden="false" customHeight="false" outlineLevel="0" collapsed="false">
      <c r="A220" s="28" t="s">
        <v>714</v>
      </c>
      <c r="B220" s="58" t="s">
        <v>715</v>
      </c>
      <c r="C220" s="59" t="n">
        <f aca="false">SUM(E220:P220)</f>
        <v>0</v>
      </c>
      <c r="D220" s="59" t="n">
        <f aca="false">SUM(Q220:AB220)</f>
        <v>0</v>
      </c>
      <c r="E220" s="60" t="n">
        <f aca="false">E219*Client_Register!$F$16</f>
        <v>0</v>
      </c>
      <c r="F220" s="60" t="n">
        <f aca="false">F219*Client_Register!$F$16</f>
        <v>0</v>
      </c>
      <c r="G220" s="60" t="n">
        <f aca="false">G219*Client_Register!$F$16</f>
        <v>0</v>
      </c>
      <c r="H220" s="60" t="n">
        <f aca="false">H219*Client_Register!$F$16</f>
        <v>0</v>
      </c>
      <c r="I220" s="60" t="n">
        <f aca="false">I219*Client_Register!$F$16</f>
        <v>0</v>
      </c>
      <c r="J220" s="60" t="n">
        <f aca="false">J219*Client_Register!$F$16</f>
        <v>0</v>
      </c>
      <c r="K220" s="60" t="n">
        <f aca="false">K219*Client_Register!$F$16</f>
        <v>0</v>
      </c>
      <c r="L220" s="60" t="n">
        <f aca="false">L219*Client_Register!$F$16</f>
        <v>0</v>
      </c>
      <c r="M220" s="60" t="n">
        <f aca="false">M219*Client_Register!$F$16</f>
        <v>0</v>
      </c>
      <c r="N220" s="60" t="n">
        <f aca="false">N219*Client_Register!$F$16</f>
        <v>0</v>
      </c>
      <c r="O220" s="60" t="n">
        <f aca="false">O219*Client_Register!$F$16</f>
        <v>0</v>
      </c>
      <c r="P220" s="60" t="n">
        <f aca="false">P219*Client_Register!$F$16</f>
        <v>0</v>
      </c>
      <c r="Q220" s="60" t="n">
        <f aca="false">Q219*Client_Register!$F$16</f>
        <v>0</v>
      </c>
      <c r="R220" s="60" t="n">
        <f aca="false">R219*Client_Register!$F$16</f>
        <v>0</v>
      </c>
      <c r="S220" s="60" t="n">
        <f aca="false">S219*Client_Register!$F$16</f>
        <v>0</v>
      </c>
      <c r="T220" s="60" t="n">
        <f aca="false">T219*Client_Register!$F$16</f>
        <v>0</v>
      </c>
      <c r="U220" s="60" t="n">
        <f aca="false">U219*Client_Register!$F$16</f>
        <v>0</v>
      </c>
      <c r="V220" s="60" t="n">
        <f aca="false">V219*Client_Register!$F$16</f>
        <v>0</v>
      </c>
      <c r="W220" s="60" t="n">
        <f aca="false">W219*Client_Register!$F$16</f>
        <v>0</v>
      </c>
      <c r="X220" s="60" t="n">
        <f aca="false">X219*Client_Register!$F$16</f>
        <v>0</v>
      </c>
      <c r="Y220" s="60" t="n">
        <f aca="false">Y219*Client_Register!$F$16</f>
        <v>0</v>
      </c>
      <c r="Z220" s="60" t="n">
        <f aca="false">Z219*Client_Register!$F$16</f>
        <v>0</v>
      </c>
      <c r="AA220" s="60" t="n">
        <f aca="false">AA219*Client_Register!$F$16</f>
        <v>0</v>
      </c>
      <c r="AB220" s="60" t="n">
        <f aca="false">AB219*Client_Register!$F$16</f>
        <v>0</v>
      </c>
    </row>
    <row r="221" customFormat="false" ht="15" hidden="false" customHeight="false" outlineLevel="0" collapsed="false">
      <c r="A221" s="68" t="s">
        <v>716</v>
      </c>
      <c r="B221" s="69"/>
      <c r="C221" s="70" t="n">
        <f aca="false">SUM(E221:P221)</f>
        <v>226500</v>
      </c>
      <c r="D221" s="70" t="n">
        <f aca="false">SUM(Q221:AB221)</f>
        <v>0</v>
      </c>
      <c r="E221" s="70" t="n">
        <f aca="false">E219+E220</f>
        <v>0</v>
      </c>
      <c r="F221" s="70" t="n">
        <f aca="false">F219+F220</f>
        <v>63000</v>
      </c>
      <c r="G221" s="70" t="n">
        <f aca="false">G219+G220</f>
        <v>0</v>
      </c>
      <c r="H221" s="70" t="n">
        <f aca="false">H219+H220</f>
        <v>0</v>
      </c>
      <c r="I221" s="70" t="n">
        <f aca="false">I219+I220</f>
        <v>16500</v>
      </c>
      <c r="J221" s="70" t="n">
        <f aca="false">J219+J220</f>
        <v>67500</v>
      </c>
      <c r="K221" s="70" t="n">
        <f aca="false">K219+K220</f>
        <v>0</v>
      </c>
      <c r="L221" s="70" t="n">
        <f aca="false">L219+L220</f>
        <v>0</v>
      </c>
      <c r="M221" s="70" t="n">
        <f aca="false">M219+M220</f>
        <v>11550</v>
      </c>
      <c r="N221" s="70" t="n">
        <f aca="false">N219+N220</f>
        <v>67950</v>
      </c>
      <c r="O221" s="70" t="n">
        <f aca="false">O219+O220</f>
        <v>0</v>
      </c>
      <c r="P221" s="70" t="n">
        <f aca="false">P219+P220</f>
        <v>0</v>
      </c>
      <c r="Q221" s="70" t="n">
        <f aca="false">Q219+Q220</f>
        <v>0</v>
      </c>
      <c r="R221" s="70" t="n">
        <f aca="false">R219+R220</f>
        <v>0</v>
      </c>
      <c r="S221" s="70" t="n">
        <f aca="false">S219+S220</f>
        <v>0</v>
      </c>
      <c r="T221" s="70" t="n">
        <f aca="false">T219+T220</f>
        <v>0</v>
      </c>
      <c r="U221" s="70" t="n">
        <f aca="false">U219+U220</f>
        <v>0</v>
      </c>
      <c r="V221" s="70" t="n">
        <f aca="false">V219+V220</f>
        <v>0</v>
      </c>
      <c r="W221" s="70" t="n">
        <f aca="false">W219+W220</f>
        <v>0</v>
      </c>
      <c r="X221" s="70" t="n">
        <f aca="false">X219+X220</f>
        <v>0</v>
      </c>
      <c r="Y221" s="70" t="n">
        <f aca="false">Y219+Y220</f>
        <v>0</v>
      </c>
      <c r="Z221" s="70" t="n">
        <f aca="false">Z219+Z220</f>
        <v>0</v>
      </c>
      <c r="AA221" s="70" t="n">
        <f aca="false">AA219+AA220</f>
        <v>0</v>
      </c>
      <c r="AB221" s="70" t="n">
        <f aca="false">AB219+AB220</f>
        <v>0</v>
      </c>
    </row>
    <row r="222" customFormat="false" ht="15" hidden="false" customHeight="false" outlineLevel="0" collapsed="false">
      <c r="A222" s="28" t="s">
        <v>735</v>
      </c>
      <c r="B222" s="58" t="s">
        <v>736</v>
      </c>
      <c r="C222" s="59" t="n">
        <f aca="false">P222</f>
        <v>0</v>
      </c>
      <c r="D222" s="59" t="n">
        <f aca="false">AB222</f>
        <v>0</v>
      </c>
      <c r="E222" s="60" t="n">
        <f aca="false">IF(AND(Assumptions!E$99&gt;=5,Assumptions!E$98&lt;Assumptions!$F$133),Assumptions!$C$95,0)</f>
        <v>0</v>
      </c>
      <c r="F222" s="60" t="n">
        <f aca="false">IF(AND(Assumptions!F$99&gt;=5,Assumptions!F$98&lt;Assumptions!$F$133),Assumptions!$C$95,0)</f>
        <v>0</v>
      </c>
      <c r="G222" s="60" t="n">
        <f aca="false">IF(AND(Assumptions!G$99&gt;=5,Assumptions!G$98&lt;Assumptions!$F$133),Assumptions!$C$95,0)</f>
        <v>0</v>
      </c>
      <c r="H222" s="60" t="n">
        <f aca="false">IF(AND(Assumptions!H$99&gt;=5,Assumptions!H$98&lt;Assumptions!$F$133),Assumptions!$C$95,0)</f>
        <v>0</v>
      </c>
      <c r="I222" s="60" t="n">
        <f aca="false">IF(AND(Assumptions!I$99&gt;=5,Assumptions!I$98&lt;Assumptions!$F$133),Assumptions!$C$95,0)</f>
        <v>16500</v>
      </c>
      <c r="J222" s="60" t="n">
        <f aca="false">IF(AND(Assumptions!J$99&gt;=5,Assumptions!J$98&lt;Assumptions!$F$133),Assumptions!$C$95,0)</f>
        <v>16500</v>
      </c>
      <c r="K222" s="60" t="n">
        <f aca="false">IF(AND(Assumptions!K$99&gt;=5,Assumptions!K$98&lt;Assumptions!$F$133),Assumptions!$C$95,0)</f>
        <v>16500</v>
      </c>
      <c r="L222" s="60" t="n">
        <f aca="false">IF(AND(Assumptions!L$99&gt;=5,Assumptions!L$98&lt;Assumptions!$F$133),Assumptions!$C$95,0)</f>
        <v>16500</v>
      </c>
      <c r="M222" s="60" t="n">
        <f aca="false">IF(AND(Assumptions!M$99&gt;=5,Assumptions!M$98&lt;Assumptions!$F$133),Assumptions!$C$95,0)</f>
        <v>16500</v>
      </c>
      <c r="N222" s="60" t="n">
        <f aca="false">IF(AND(Assumptions!N$99&gt;=5,Assumptions!N$98&lt;Assumptions!$F$133),Assumptions!$C$95,0)</f>
        <v>16500</v>
      </c>
      <c r="O222" s="60" t="n">
        <f aca="false">IF(AND(Assumptions!O$99&gt;=5,Assumptions!O$98&lt;Assumptions!$F$133),Assumptions!$C$95,0)</f>
        <v>0</v>
      </c>
      <c r="P222" s="60" t="n">
        <f aca="false">IF(AND(Assumptions!P$99&gt;=5,Assumptions!P$98&lt;Assumptions!$F$133),Assumptions!$C$95,0)</f>
        <v>0</v>
      </c>
      <c r="Q222" s="60" t="n">
        <f aca="false">IF(AND(Assumptions!Q$99&gt;=5,Assumptions!Q$98&lt;Assumptions!$F$133),Assumptions!$C$95,0)</f>
        <v>0</v>
      </c>
      <c r="R222" s="60" t="n">
        <f aca="false">IF(AND(Assumptions!R$99&gt;=5,Assumptions!R$98&lt;Assumptions!$F$133),Assumptions!$C$95,0)</f>
        <v>0</v>
      </c>
      <c r="S222" s="60" t="n">
        <f aca="false">IF(AND(Assumptions!S$99&gt;=5,Assumptions!S$98&lt;Assumptions!$F$133),Assumptions!$C$95,0)</f>
        <v>0</v>
      </c>
      <c r="T222" s="60" t="n">
        <f aca="false">IF(AND(Assumptions!T$99&gt;=5,Assumptions!T$98&lt;Assumptions!$F$133),Assumptions!$C$95,0)</f>
        <v>0</v>
      </c>
      <c r="U222" s="60" t="n">
        <f aca="false">IF(AND(Assumptions!U$99&gt;=5,Assumptions!U$98&lt;Assumptions!$F$133),Assumptions!$C$95,0)</f>
        <v>0</v>
      </c>
      <c r="V222" s="60" t="n">
        <f aca="false">IF(AND(Assumptions!V$99&gt;=5,Assumptions!V$98&lt;Assumptions!$F$133),Assumptions!$C$95,0)</f>
        <v>0</v>
      </c>
      <c r="W222" s="60" t="n">
        <f aca="false">IF(AND(Assumptions!W$99&gt;=5,Assumptions!W$98&lt;Assumptions!$F$133),Assumptions!$C$95,0)</f>
        <v>0</v>
      </c>
      <c r="X222" s="60" t="n">
        <f aca="false">IF(AND(Assumptions!X$99&gt;=5,Assumptions!X$98&lt;Assumptions!$F$133),Assumptions!$C$95,0)</f>
        <v>0</v>
      </c>
      <c r="Y222" s="60" t="n">
        <f aca="false">IF(AND(Assumptions!Y$99&gt;=5,Assumptions!Y$98&lt;Assumptions!$F$133),Assumptions!$C$95,0)</f>
        <v>0</v>
      </c>
      <c r="Z222" s="60" t="n">
        <f aca="false">IF(AND(Assumptions!Z$99&gt;=5,Assumptions!Z$98&lt;Assumptions!$F$133),Assumptions!$C$95,0)</f>
        <v>0</v>
      </c>
      <c r="AA222" s="60" t="n">
        <f aca="false">IF(AND(Assumptions!AA$99&gt;=5,Assumptions!AA$98&lt;Assumptions!$F$133),Assumptions!$C$95,0)</f>
        <v>0</v>
      </c>
      <c r="AB222" s="60" t="n">
        <f aca="false">IF(AND(Assumptions!AB$99&gt;=5,Assumptions!AB$98&lt;Assumptions!$F$133),Assumptions!$C$95,0)</f>
        <v>0</v>
      </c>
    </row>
    <row r="223" customFormat="false" ht="15" hidden="false" customHeight="false" outlineLevel="0" collapsed="false">
      <c r="A223" s="28" t="s">
        <v>737</v>
      </c>
      <c r="B223" s="58" t="s">
        <v>738</v>
      </c>
      <c r="C223" s="59" t="n">
        <f aca="false">SUM(E223:P223)</f>
        <v>8250</v>
      </c>
      <c r="D223" s="59" t="n">
        <f aca="false">SUM(Q223:AB223)</f>
        <v>0</v>
      </c>
      <c r="E223" s="60" t="n">
        <f aca="false">IF(Assumptions!E$98=Assumptions!$F$133,Assumptions!$C$95*Assumptions!$F$132,0)</f>
        <v>0</v>
      </c>
      <c r="F223" s="60" t="n">
        <f aca="false">IF(Assumptions!F$98=Assumptions!$F$133,Assumptions!$C$95*Assumptions!$F$132,0)</f>
        <v>0</v>
      </c>
      <c r="G223" s="60" t="n">
        <f aca="false">IF(Assumptions!G$98=Assumptions!$F$133,Assumptions!$C$95*Assumptions!$F$132,0)</f>
        <v>0</v>
      </c>
      <c r="H223" s="60" t="n">
        <f aca="false">IF(Assumptions!H$98=Assumptions!$F$133,Assumptions!$C$95*Assumptions!$F$132,0)</f>
        <v>0</v>
      </c>
      <c r="I223" s="60" t="n">
        <f aca="false">IF(Assumptions!I$98=Assumptions!$F$133,Assumptions!$C$95*Assumptions!$F$132,0)</f>
        <v>0</v>
      </c>
      <c r="J223" s="60" t="n">
        <f aca="false">IF(Assumptions!J$98=Assumptions!$F$133,Assumptions!$C$95*Assumptions!$F$132,0)</f>
        <v>0</v>
      </c>
      <c r="K223" s="60" t="n">
        <f aca="false">IF(Assumptions!K$98=Assumptions!$F$133,Assumptions!$C$95*Assumptions!$F$132,0)</f>
        <v>0</v>
      </c>
      <c r="L223" s="60" t="n">
        <f aca="false">IF(Assumptions!L$98=Assumptions!$F$133,Assumptions!$C$95*Assumptions!$F$132,0)</f>
        <v>0</v>
      </c>
      <c r="M223" s="60" t="n">
        <f aca="false">IF(Assumptions!M$98=Assumptions!$F$133,Assumptions!$C$95*Assumptions!$F$132,0)</f>
        <v>0</v>
      </c>
      <c r="N223" s="60" t="n">
        <f aca="false">IF(Assumptions!N$98=Assumptions!$F$133,Assumptions!$C$95*Assumptions!$F$132,0)</f>
        <v>0</v>
      </c>
      <c r="O223" s="60" t="n">
        <f aca="false">IF(Assumptions!O$98=Assumptions!$F$133,Assumptions!$C$95*Assumptions!$F$132,0)</f>
        <v>8250</v>
      </c>
      <c r="P223" s="60" t="n">
        <f aca="false">IF(Assumptions!P$98=Assumptions!$F$133,Assumptions!$C$95*Assumptions!$F$132,0)</f>
        <v>0</v>
      </c>
      <c r="Q223" s="60" t="n">
        <f aca="false">IF(Assumptions!Q$98=Assumptions!$F$133,Assumptions!$C$95*Assumptions!$F$132,0)</f>
        <v>0</v>
      </c>
      <c r="R223" s="60" t="n">
        <f aca="false">IF(Assumptions!R$98=Assumptions!$F$133,Assumptions!$C$95*Assumptions!$F$132,0)</f>
        <v>0</v>
      </c>
      <c r="S223" s="60" t="n">
        <f aca="false">IF(Assumptions!S$98=Assumptions!$F$133,Assumptions!$C$95*Assumptions!$F$132,0)</f>
        <v>0</v>
      </c>
      <c r="T223" s="60" t="n">
        <f aca="false">IF(Assumptions!T$98=Assumptions!$F$133,Assumptions!$C$95*Assumptions!$F$132,0)</f>
        <v>0</v>
      </c>
      <c r="U223" s="60" t="n">
        <f aca="false">IF(Assumptions!U$98=Assumptions!$F$133,Assumptions!$C$95*Assumptions!$F$132,0)</f>
        <v>0</v>
      </c>
      <c r="V223" s="60" t="n">
        <f aca="false">IF(Assumptions!V$98=Assumptions!$F$133,Assumptions!$C$95*Assumptions!$F$132,0)</f>
        <v>0</v>
      </c>
      <c r="W223" s="60" t="n">
        <f aca="false">IF(Assumptions!W$98=Assumptions!$F$133,Assumptions!$C$95*Assumptions!$F$132,0)</f>
        <v>0</v>
      </c>
      <c r="X223" s="60" t="n">
        <f aca="false">IF(Assumptions!X$98=Assumptions!$F$133,Assumptions!$C$95*Assumptions!$F$132,0)</f>
        <v>0</v>
      </c>
      <c r="Y223" s="60" t="n">
        <f aca="false">IF(Assumptions!Y$98=Assumptions!$F$133,Assumptions!$C$95*Assumptions!$F$132,0)</f>
        <v>0</v>
      </c>
      <c r="Z223" s="60" t="n">
        <f aca="false">IF(Assumptions!Z$98=Assumptions!$F$133,Assumptions!$C$95*Assumptions!$F$132,0)</f>
        <v>0</v>
      </c>
      <c r="AA223" s="60" t="n">
        <f aca="false">IF(Assumptions!AA$98=Assumptions!$F$133,Assumptions!$C$95*Assumptions!$F$132,0)</f>
        <v>0</v>
      </c>
      <c r="AB223" s="60" t="n">
        <f aca="false">IF(Assumptions!AB$98=Assumptions!$F$133,Assumptions!$C$95*Assumptions!$F$132,0)</f>
        <v>0</v>
      </c>
    </row>
    <row r="224" customFormat="false" ht="15" hidden="false" customHeight="false" outlineLevel="0" collapsed="false">
      <c r="A224" s="28" t="s">
        <v>739</v>
      </c>
      <c r="B224" s="58" t="s">
        <v>740</v>
      </c>
      <c r="C224" s="59" t="n">
        <f aca="false">SUM(E224:P224)</f>
        <v>8250</v>
      </c>
      <c r="D224" s="59" t="n">
        <f aca="false">SUM(Q224:AB224)</f>
        <v>0</v>
      </c>
      <c r="E224" s="60" t="n">
        <f aca="false">IF(Assumptions!E$98=Assumptions!$F$133,Assumptions!$C$95*(1-Assumptions!$F$132),0)</f>
        <v>0</v>
      </c>
      <c r="F224" s="60" t="n">
        <f aca="false">IF(Assumptions!F$98=Assumptions!$F$133,Assumptions!$C$95*(1-Assumptions!$F$132),0)</f>
        <v>0</v>
      </c>
      <c r="G224" s="60" t="n">
        <f aca="false">IF(Assumptions!G$98=Assumptions!$F$133,Assumptions!$C$95*(1-Assumptions!$F$132),0)</f>
        <v>0</v>
      </c>
      <c r="H224" s="60" t="n">
        <f aca="false">IF(Assumptions!H$98=Assumptions!$F$133,Assumptions!$C$95*(1-Assumptions!$F$132),0)</f>
        <v>0</v>
      </c>
      <c r="I224" s="60" t="n">
        <f aca="false">IF(Assumptions!I$98=Assumptions!$F$133,Assumptions!$C$95*(1-Assumptions!$F$132),0)</f>
        <v>0</v>
      </c>
      <c r="J224" s="60" t="n">
        <f aca="false">IF(Assumptions!J$98=Assumptions!$F$133,Assumptions!$C$95*(1-Assumptions!$F$132),0)</f>
        <v>0</v>
      </c>
      <c r="K224" s="60" t="n">
        <f aca="false">IF(Assumptions!K$98=Assumptions!$F$133,Assumptions!$C$95*(1-Assumptions!$F$132),0)</f>
        <v>0</v>
      </c>
      <c r="L224" s="60" t="n">
        <f aca="false">IF(Assumptions!L$98=Assumptions!$F$133,Assumptions!$C$95*(1-Assumptions!$F$132),0)</f>
        <v>0</v>
      </c>
      <c r="M224" s="60" t="n">
        <f aca="false">IF(Assumptions!M$98=Assumptions!$F$133,Assumptions!$C$95*(1-Assumptions!$F$132),0)</f>
        <v>0</v>
      </c>
      <c r="N224" s="60" t="n">
        <f aca="false">IF(Assumptions!N$98=Assumptions!$F$133,Assumptions!$C$95*(1-Assumptions!$F$132),0)</f>
        <v>0</v>
      </c>
      <c r="O224" s="60" t="n">
        <f aca="false">IF(Assumptions!O$98=Assumptions!$F$133,Assumptions!$C$95*(1-Assumptions!$F$132),0)</f>
        <v>8250</v>
      </c>
      <c r="P224" s="60" t="n">
        <f aca="false">IF(Assumptions!P$98=Assumptions!$F$133,Assumptions!$C$95*(1-Assumptions!$F$132),0)</f>
        <v>0</v>
      </c>
      <c r="Q224" s="60" t="n">
        <f aca="false">IF(Assumptions!Q$98=Assumptions!$F$133,Assumptions!$C$95*(1-Assumptions!$F$132),0)</f>
        <v>0</v>
      </c>
      <c r="R224" s="60" t="n">
        <f aca="false">IF(Assumptions!R$98=Assumptions!$F$133,Assumptions!$C$95*(1-Assumptions!$F$132),0)</f>
        <v>0</v>
      </c>
      <c r="S224" s="60" t="n">
        <f aca="false">IF(Assumptions!S$98=Assumptions!$F$133,Assumptions!$C$95*(1-Assumptions!$F$132),0)</f>
        <v>0</v>
      </c>
      <c r="T224" s="60" t="n">
        <f aca="false">IF(Assumptions!T$98=Assumptions!$F$133,Assumptions!$C$95*(1-Assumptions!$F$132),0)</f>
        <v>0</v>
      </c>
      <c r="U224" s="60" t="n">
        <f aca="false">IF(Assumptions!U$98=Assumptions!$F$133,Assumptions!$C$95*(1-Assumptions!$F$132),0)</f>
        <v>0</v>
      </c>
      <c r="V224" s="60" t="n">
        <f aca="false">IF(Assumptions!V$98=Assumptions!$F$133,Assumptions!$C$95*(1-Assumptions!$F$132),0)</f>
        <v>0</v>
      </c>
      <c r="W224" s="60" t="n">
        <f aca="false">IF(Assumptions!W$98=Assumptions!$F$133,Assumptions!$C$95*(1-Assumptions!$F$132),0)</f>
        <v>0</v>
      </c>
      <c r="X224" s="60" t="n">
        <f aca="false">IF(Assumptions!X$98=Assumptions!$F$133,Assumptions!$C$95*(1-Assumptions!$F$132),0)</f>
        <v>0</v>
      </c>
      <c r="Y224" s="60" t="n">
        <f aca="false">IF(Assumptions!Y$98=Assumptions!$F$133,Assumptions!$C$95*(1-Assumptions!$F$132),0)</f>
        <v>0</v>
      </c>
      <c r="Z224" s="60" t="n">
        <f aca="false">IF(Assumptions!Z$98=Assumptions!$F$133,Assumptions!$C$95*(1-Assumptions!$F$132),0)</f>
        <v>0</v>
      </c>
      <c r="AA224" s="60" t="n">
        <f aca="false">IF(Assumptions!AA$98=Assumptions!$F$133,Assumptions!$C$95*(1-Assumptions!$F$132),0)</f>
        <v>0</v>
      </c>
      <c r="AB224" s="60" t="n">
        <f aca="false">IF(Assumptions!AB$98=Assumptions!$F$133,Assumptions!$C$95*(1-Assumptions!$F$132),0)</f>
        <v>0</v>
      </c>
    </row>
    <row r="225" customFormat="false" ht="15" hidden="false" customHeight="false" outlineLevel="0" collapsed="false">
      <c r="A225" s="28" t="s">
        <v>717</v>
      </c>
      <c r="B225" s="58" t="s">
        <v>718</v>
      </c>
      <c r="C225" s="59" t="n">
        <f aca="false">SUM(E225:P225)</f>
        <v>218250</v>
      </c>
      <c r="D225" s="59" t="n">
        <f aca="false">SUM(Q225:AB225)</f>
        <v>0</v>
      </c>
      <c r="E225" s="60" t="n">
        <f aca="false">IF(E$5="A",Inputs_Actuals!E122,(Client_Register!$T$16-0)+E221-(E221*MIN(1,Client_Register!$J$16/30)+0*MIN(1,MAX(0,(Client_Register!$J$16-30)/30))+0*MIN(1,MAX(0,(Client_Register!$J$16-60)/30)))+E223)</f>
        <v>0</v>
      </c>
      <c r="F225" s="60" t="n">
        <f aca="false">IF(F$5="A",Inputs_Actuals!F122,(E226-E222)+F221-(F221*MIN(1,Client_Register!$J$16/30)+E221*MIN(1,MAX(0,(Client_Register!$J$16-30)/30))+0*MIN(1,MAX(0,(Client_Register!$J$16-60)/30)))+F223)</f>
        <v>-6791.25</v>
      </c>
      <c r="G225" s="60" t="n">
        <f aca="false">IF(G$5="A",Inputs_Actuals!G122,(F226-F222)+G221-(G221*MIN(1,Client_Register!$J$16/30)+F221*MIN(1,MAX(0,(Client_Register!$J$16-30)/30))+E221*MIN(1,MAX(0,(Client_Register!$J$16-60)/30)))+G223)</f>
        <v>42203.85</v>
      </c>
      <c r="H225" s="60" t="n">
        <f aca="false">IF(H$5="A",Inputs_Actuals!H122,(G226-G222)+H221-(H221*MIN(1,Client_Register!$J$16/30)+G221*MIN(1,MAX(0,(Client_Register!$J$16-30)/30))+F221*MIN(1,MAX(0,(Client_Register!$J$16-60)/30)))+H223)</f>
        <v>27587.4</v>
      </c>
      <c r="I225" s="60" t="n">
        <f aca="false">IF(I$5="A",Inputs_Actuals!I122,(H226-H222)+I221-(I221*MIN(1,Client_Register!$J$16/30)+H221*MIN(1,MAX(0,(Client_Register!$J$16-30)/30))+G221*MIN(1,MAX(0,(Client_Register!$J$16-60)/30)))+I223)</f>
        <v>0</v>
      </c>
      <c r="J225" s="60" t="n">
        <f aca="false">IF(J$5="A",Inputs_Actuals!J122,(I226-I222)+J221-(J221*MIN(1,Client_Register!$J$16/30)+I221*MIN(1,MAX(0,(Client_Register!$J$16-30)/30))+H221*MIN(1,MAX(0,(Client_Register!$J$16-60)/30)))+J223)</f>
        <v>-3568.35</v>
      </c>
      <c r="K225" s="60" t="n">
        <f aca="false">IF(K$5="A",Inputs_Actuals!K122,(J226-J222)+K221-(K221*MIN(1,Client_Register!$J$16/30)+J221*MIN(1,MAX(0,(Client_Register!$J$16-30)/30))+I221*MIN(1,MAX(0,(Client_Register!$J$16-60)/30)))+K223)</f>
        <v>39681.55</v>
      </c>
      <c r="L225" s="60" t="n">
        <f aca="false">IF(L$5="A",Inputs_Actuals!L122,(K226-K222)+L221-(L221*MIN(1,Client_Register!$J$16/30)+K221*MIN(1,MAX(0,(Client_Register!$J$16-30)/30))+J221*MIN(1,MAX(0,(Client_Register!$J$16-60)/30)))+L223)</f>
        <v>31386.8</v>
      </c>
      <c r="M225" s="60" t="n">
        <f aca="false">IF(M$5="A",Inputs_Actuals!M122,(L226-L222)+M221-(M221*MIN(1,Client_Register!$J$16/30)+L221*MIN(1,MAX(0,(Client_Register!$J$16-30)/30))+K221*MIN(1,MAX(0,(Client_Register!$J$16-60)/30)))+M223)</f>
        <v>0</v>
      </c>
      <c r="N225" s="60" t="n">
        <f aca="false">IF(N$5="A",Inputs_Actuals!N122,(M226-M222)+N221-(N221*MIN(1,Client_Register!$J$16/30)+M221*MIN(1,MAX(0,(Client_Register!$J$16-30)/30))+L221*MIN(1,MAX(0,(Client_Register!$J$16-60)/30)))+N223)</f>
        <v>5775</v>
      </c>
      <c r="O225" s="60" t="n">
        <f aca="false">IF(O$5="A",Inputs_Actuals!O122,(N226-N222)+O221-(O221*MIN(1,Client_Register!$J$16/30)+N221*MIN(1,MAX(0,(Client_Register!$J$16-30)/30))+M221*MIN(1,MAX(0,(Client_Register!$J$16-60)/30)))+O223)</f>
        <v>48000</v>
      </c>
      <c r="P225" s="60" t="n">
        <f aca="false">IF(P$5="A",Inputs_Actuals!P122,(O226-O222)+P221-(P221*MIN(1,Client_Register!$J$16/30)+O221*MIN(1,MAX(0,(Client_Register!$J$16-30)/30))+N221*MIN(1,MAX(0,(Client_Register!$J$16-60)/30)))+P223)</f>
        <v>33975</v>
      </c>
      <c r="Q225" s="60" t="n">
        <f aca="false">IF(Q$5="A",Inputs_Actuals!Q122,(P226-P222)+Q221-(Q221*MIN(1,Client_Register!$J$16/30)+P221*MIN(1,MAX(0,(Client_Register!$J$16-30)/30))+O221*MIN(1,MAX(0,(Client_Register!$J$16-60)/30)))+Q223)</f>
        <v>0</v>
      </c>
      <c r="R225" s="60" t="n">
        <f aca="false">IF(R$5="A",Inputs_Actuals!R122,(Q226-Q222)+R221-(R221*MIN(1,Client_Register!$J$16/30)+Q221*MIN(1,MAX(0,(Client_Register!$J$16-30)/30))+P221*MIN(1,MAX(0,(Client_Register!$J$16-60)/30)))+R223)</f>
        <v>0</v>
      </c>
      <c r="S225" s="60" t="n">
        <f aca="false">IF(S$5="A",Inputs_Actuals!S122,(R226-R222)+S221-(S221*MIN(1,Client_Register!$J$16/30)+R221*MIN(1,MAX(0,(Client_Register!$J$16-30)/30))+Q221*MIN(1,MAX(0,(Client_Register!$J$16-60)/30)))+S223)</f>
        <v>0</v>
      </c>
      <c r="T225" s="60" t="n">
        <f aca="false">IF(T$5="A",Inputs_Actuals!T122,(S226-S222)+T221-(T221*MIN(1,Client_Register!$J$16/30)+S221*MIN(1,MAX(0,(Client_Register!$J$16-30)/30))+R221*MIN(1,MAX(0,(Client_Register!$J$16-60)/30)))+T223)</f>
        <v>0</v>
      </c>
      <c r="U225" s="60" t="n">
        <f aca="false">IF(U$5="A",Inputs_Actuals!U122,(T226-T222)+U221-(U221*MIN(1,Client_Register!$J$16/30)+T221*MIN(1,MAX(0,(Client_Register!$J$16-30)/30))+S221*MIN(1,MAX(0,(Client_Register!$J$16-60)/30)))+U223)</f>
        <v>0</v>
      </c>
      <c r="V225" s="60" t="n">
        <f aca="false">IF(V$5="A",Inputs_Actuals!V122,(U226-U222)+V221-(V221*MIN(1,Client_Register!$J$16/30)+U221*MIN(1,MAX(0,(Client_Register!$J$16-30)/30))+T221*MIN(1,MAX(0,(Client_Register!$J$16-60)/30)))+V223)</f>
        <v>0</v>
      </c>
      <c r="W225" s="60" t="n">
        <f aca="false">IF(W$5="A",Inputs_Actuals!W122,(V226-V222)+W221-(W221*MIN(1,Client_Register!$J$16/30)+V221*MIN(1,MAX(0,(Client_Register!$J$16-30)/30))+U221*MIN(1,MAX(0,(Client_Register!$J$16-60)/30)))+W223)</f>
        <v>0</v>
      </c>
      <c r="X225" s="60" t="n">
        <f aca="false">IF(X$5="A",Inputs_Actuals!X122,(W226-W222)+X221-(X221*MIN(1,Client_Register!$J$16/30)+W221*MIN(1,MAX(0,(Client_Register!$J$16-30)/30))+V221*MIN(1,MAX(0,(Client_Register!$J$16-60)/30)))+X223)</f>
        <v>0</v>
      </c>
      <c r="Y225" s="60" t="n">
        <f aca="false">IF(Y$5="A",Inputs_Actuals!Y122,(X226-X222)+Y221-(Y221*MIN(1,Client_Register!$J$16/30)+X221*MIN(1,MAX(0,(Client_Register!$J$16-30)/30))+W221*MIN(1,MAX(0,(Client_Register!$J$16-60)/30)))+Y223)</f>
        <v>0</v>
      </c>
      <c r="Z225" s="60" t="n">
        <f aca="false">IF(Z$5="A",Inputs_Actuals!Z122,(Y226-Y222)+Z221-(Z221*MIN(1,Client_Register!$J$16/30)+Y221*MIN(1,MAX(0,(Client_Register!$J$16-30)/30))+X221*MIN(1,MAX(0,(Client_Register!$J$16-60)/30)))+Z223)</f>
        <v>0</v>
      </c>
      <c r="AA225" s="60" t="n">
        <f aca="false">IF(AA$5="A",Inputs_Actuals!AA122,(Z226-Z222)+AA221-(AA221*MIN(1,Client_Register!$J$16/30)+Z221*MIN(1,MAX(0,(Client_Register!$J$16-30)/30))+Y221*MIN(1,MAX(0,(Client_Register!$J$16-60)/30)))+AA223)</f>
        <v>0</v>
      </c>
      <c r="AB225" s="60" t="n">
        <f aca="false">IF(AB$5="A",Inputs_Actuals!AB122,(AA226-AA222)+AB221-(AB221*MIN(1,Client_Register!$J$16/30)+AA221*MIN(1,MAX(0,(Client_Register!$J$16-30)/30))+Z221*MIN(1,MAX(0,(Client_Register!$J$16-60)/30)))+AB223)</f>
        <v>0</v>
      </c>
    </row>
    <row r="226" customFormat="false" ht="15" hidden="false" customHeight="false" outlineLevel="0" collapsed="false">
      <c r="A226" s="68" t="s">
        <v>719</v>
      </c>
      <c r="B226" s="69" t="s">
        <v>741</v>
      </c>
      <c r="C226" s="70" t="n">
        <f aca="false">P226</f>
        <v>0</v>
      </c>
      <c r="D226" s="70" t="n">
        <f aca="false">AB226</f>
        <v>0</v>
      </c>
      <c r="E226" s="74" t="n">
        <f aca="false">Client_Register!$T$16+E221-E225-E224</f>
        <v>0</v>
      </c>
      <c r="F226" s="70" t="n">
        <f aca="false">E226+F221-F225-F224</f>
        <v>69791.25</v>
      </c>
      <c r="G226" s="70" t="n">
        <f aca="false">F226+G221-G225-G224</f>
        <v>27587.4</v>
      </c>
      <c r="H226" s="70" t="n">
        <f aca="false">G226+H221-H225-H224</f>
        <v>0</v>
      </c>
      <c r="I226" s="70" t="n">
        <f aca="false">H226+I221-I225-I224</f>
        <v>16500</v>
      </c>
      <c r="J226" s="70" t="n">
        <f aca="false">I226+J221-J225-J224</f>
        <v>87568.35</v>
      </c>
      <c r="K226" s="70" t="n">
        <f aca="false">J226+K221-K225-K224</f>
        <v>47886.8</v>
      </c>
      <c r="L226" s="70" t="n">
        <f aca="false">K226+L221-L225-L224</f>
        <v>16500</v>
      </c>
      <c r="M226" s="70" t="n">
        <f aca="false">L226+M221-M225-M224</f>
        <v>28050</v>
      </c>
      <c r="N226" s="70" t="n">
        <f aca="false">M226+N221-N225-N224</f>
        <v>90225</v>
      </c>
      <c r="O226" s="70" t="n">
        <f aca="false">N226+O221-O225-O224</f>
        <v>33975</v>
      </c>
      <c r="P226" s="70" t="n">
        <f aca="false">O226+P221-P225-P224</f>
        <v>0</v>
      </c>
      <c r="Q226" s="70" t="n">
        <f aca="false">P226+Q221-Q225-Q224</f>
        <v>0</v>
      </c>
      <c r="R226" s="70" t="n">
        <f aca="false">Q226+R221-R225-R224</f>
        <v>0</v>
      </c>
      <c r="S226" s="70" t="n">
        <f aca="false">R226+S221-S225-S224</f>
        <v>0</v>
      </c>
      <c r="T226" s="70" t="n">
        <f aca="false">S226+T221-T225-T224</f>
        <v>0</v>
      </c>
      <c r="U226" s="70" t="n">
        <f aca="false">T226+U221-U225-U224</f>
        <v>0</v>
      </c>
      <c r="V226" s="70" t="n">
        <f aca="false">U226+V221-V225-V224</f>
        <v>0</v>
      </c>
      <c r="W226" s="70" t="n">
        <f aca="false">V226+W221-W225-W224</f>
        <v>0</v>
      </c>
      <c r="X226" s="70" t="n">
        <f aca="false">W226+X221-X225-X224</f>
        <v>0</v>
      </c>
      <c r="Y226" s="70" t="n">
        <f aca="false">X226+Y221-Y225-Y224</f>
        <v>0</v>
      </c>
      <c r="Z226" s="70" t="n">
        <f aca="false">Y226+Z221-Z225-Z224</f>
        <v>0</v>
      </c>
      <c r="AA226" s="70" t="n">
        <f aca="false">Z226+AA221-AA225-AA224</f>
        <v>0</v>
      </c>
      <c r="AB226" s="70" t="n">
        <f aca="false">AA226+AB221-AB225-AB224</f>
        <v>0</v>
      </c>
    </row>
    <row r="227" customFormat="false" ht="15" hidden="false" customHeight="false" outlineLevel="0" collapsed="false">
      <c r="A227" s="28" t="s">
        <v>721</v>
      </c>
      <c r="B227" s="58" t="s">
        <v>722</v>
      </c>
      <c r="C227" s="59" t="n">
        <f aca="false">P227</f>
        <v>0</v>
      </c>
      <c r="D227" s="59" t="n">
        <f aca="false">AB227</f>
        <v>0</v>
      </c>
      <c r="E227" s="60" t="n">
        <f aca="false">Client_Register!$U$16+E212-(E219-E218)</f>
        <v>0</v>
      </c>
      <c r="F227" s="71" t="n">
        <f aca="false">E227+F212-(F219-F218)</f>
        <v>-56170.43</v>
      </c>
      <c r="G227" s="71" t="n">
        <f aca="false">F227+G212-(G219-G218)</f>
        <v>-35252.61</v>
      </c>
      <c r="H227" s="71" t="n">
        <f aca="false">G227+H212-(H219-H218)</f>
        <v>-6646.96</v>
      </c>
      <c r="I227" s="71" t="n">
        <f aca="false">H227+I212-(I219-I218)</f>
        <v>13939.96</v>
      </c>
      <c r="J227" s="71" t="n">
        <f aca="false">I227+J212-(J219-J218)</f>
        <v>-17129.02</v>
      </c>
      <c r="K227" s="71" t="n">
        <f aca="false">J227+K212-(K219-K218)</f>
        <v>13393.24</v>
      </c>
      <c r="L227" s="71" t="n">
        <f aca="false">K227+L212-(L219-L218)</f>
        <v>43974.05</v>
      </c>
      <c r="M227" s="71" t="n">
        <f aca="false">L227+M212-(M219-M218)</f>
        <v>58296.2094694179</v>
      </c>
      <c r="N227" s="71" t="n">
        <f aca="false">M227+N212-(N219-N218)</f>
        <v>0</v>
      </c>
      <c r="O227" s="71" t="n">
        <f aca="false">N227+O212-(O219-O218)</f>
        <v>0</v>
      </c>
      <c r="P227" s="71" t="n">
        <f aca="false">O227+P212-(P219-P218)</f>
        <v>0</v>
      </c>
      <c r="Q227" s="71" t="n">
        <f aca="false">P227+Q212-(Q219-Q218)</f>
        <v>0</v>
      </c>
      <c r="R227" s="71" t="n">
        <f aca="false">Q227+R212-(R219-R218)</f>
        <v>0</v>
      </c>
      <c r="S227" s="71" t="n">
        <f aca="false">R227+S212-(S219-S218)</f>
        <v>0</v>
      </c>
      <c r="T227" s="71" t="n">
        <f aca="false">S227+T212-(T219-T218)</f>
        <v>0</v>
      </c>
      <c r="U227" s="71" t="n">
        <f aca="false">T227+U212-(U219-U218)</f>
        <v>0</v>
      </c>
      <c r="V227" s="71" t="n">
        <f aca="false">U227+V212-(V219-V218)</f>
        <v>0</v>
      </c>
      <c r="W227" s="71" t="n">
        <f aca="false">V227+W212-(W219-W218)</f>
        <v>0</v>
      </c>
      <c r="X227" s="71" t="n">
        <f aca="false">W227+X212-(X219-X218)</f>
        <v>0</v>
      </c>
      <c r="Y227" s="71" t="n">
        <f aca="false">X227+Y212-(Y219-Y218)</f>
        <v>0</v>
      </c>
      <c r="Z227" s="71" t="n">
        <f aca="false">Y227+Z212-(Z219-Z218)</f>
        <v>0</v>
      </c>
      <c r="AA227" s="71" t="n">
        <f aca="false">Z227+AA212-(AA219-AA218)</f>
        <v>0</v>
      </c>
      <c r="AB227" s="71" t="n">
        <f aca="false">AA227+AB212-(AB219-AB218)</f>
        <v>0</v>
      </c>
    </row>
    <row r="228" customFormat="false" ht="15" hidden="false" customHeight="false" outlineLevel="0" collapsed="false">
      <c r="A228" s="28" t="s">
        <v>723</v>
      </c>
      <c r="B228" s="58"/>
      <c r="C228" s="59" t="n">
        <f aca="false">P228</f>
        <v>0</v>
      </c>
      <c r="D228" s="59" t="n">
        <f aca="false">AB228</f>
        <v>0</v>
      </c>
      <c r="E228" s="60" t="n">
        <f aca="false">E226/FX!E12</f>
        <v>0</v>
      </c>
      <c r="F228" s="60" t="n">
        <f aca="false">F226/FX!F12</f>
        <v>59120.0762388818</v>
      </c>
      <c r="G228" s="60" t="n">
        <f aca="false">G226/FX!G12</f>
        <v>23993.2162115151</v>
      </c>
      <c r="H228" s="60" t="n">
        <f aca="false">H226/FX!H12</f>
        <v>0</v>
      </c>
      <c r="I228" s="60" t="n">
        <f aca="false">I226/FX!I12</f>
        <v>14170.3881827551</v>
      </c>
      <c r="J228" s="60" t="n">
        <f aca="false">J226/FX!J12</f>
        <v>76854.7919957873</v>
      </c>
      <c r="K228" s="60" t="n">
        <f aca="false">K226/FX!K12</f>
        <v>41695.0805398346</v>
      </c>
      <c r="L228" s="60" t="n">
        <f aca="false">L226/FX!L12</f>
        <v>14229.0444981028</v>
      </c>
      <c r="M228" s="60" t="n">
        <f aca="false">M226/FX!M12</f>
        <v>24189.3756467748</v>
      </c>
      <c r="N228" s="60" t="n">
        <f aca="false">N226/FX!N12</f>
        <v>77807.0024146257</v>
      </c>
      <c r="O228" s="60" t="n">
        <f aca="false">O226/FX!O12</f>
        <v>29298.8961710935</v>
      </c>
      <c r="P228" s="60" t="n">
        <f aca="false">P226/FX!P12</f>
        <v>0</v>
      </c>
      <c r="Q228" s="60" t="n">
        <f aca="false">Q226/FX!Q12</f>
        <v>0</v>
      </c>
      <c r="R228" s="60" t="n">
        <f aca="false">R226/FX!R12</f>
        <v>0</v>
      </c>
      <c r="S228" s="60" t="n">
        <f aca="false">S226/FX!S12</f>
        <v>0</v>
      </c>
      <c r="T228" s="60" t="n">
        <f aca="false">T226/FX!T12</f>
        <v>0</v>
      </c>
      <c r="U228" s="60" t="n">
        <f aca="false">U226/FX!U12</f>
        <v>0</v>
      </c>
      <c r="V228" s="60" t="n">
        <f aca="false">V226/FX!V12</f>
        <v>0</v>
      </c>
      <c r="W228" s="60" t="n">
        <f aca="false">W226/FX!W12</f>
        <v>0</v>
      </c>
      <c r="X228" s="60" t="n">
        <f aca="false">X226/FX!X12</f>
        <v>0</v>
      </c>
      <c r="Y228" s="60" t="n">
        <f aca="false">Y226/FX!Y12</f>
        <v>0</v>
      </c>
      <c r="Z228" s="60" t="n">
        <f aca="false">Z226/FX!Z12</f>
        <v>0</v>
      </c>
      <c r="AA228" s="60" t="n">
        <f aca="false">AA226/FX!AA12</f>
        <v>0</v>
      </c>
      <c r="AB228" s="60" t="n">
        <f aca="false">AB226/FX!AB12</f>
        <v>0</v>
      </c>
    </row>
    <row r="229" customFormat="false" ht="15" hidden="false" customHeight="false" outlineLevel="0" collapsed="false">
      <c r="A229" s="28" t="s">
        <v>724</v>
      </c>
      <c r="B229" s="58"/>
      <c r="C229" s="66" t="n">
        <f aca="false">P229</f>
        <v>0</v>
      </c>
      <c r="D229" s="66" t="n">
        <f aca="false">AB229</f>
        <v>0</v>
      </c>
      <c r="E229" s="72" t="n">
        <f aca="false">IFERROR(E226/AVERAGE(E221:E221)*30.4,0)</f>
        <v>0</v>
      </c>
      <c r="F229" s="72" t="n">
        <f aca="false">IFERROR(F226/AVERAGE(E221:F221)*30.4,0)</f>
        <v>67.3540952380952</v>
      </c>
      <c r="G229" s="72" t="n">
        <f aca="false">IFERROR(G226/AVERAGE(E221:G221)*30.4,0)</f>
        <v>39.9360457142857</v>
      </c>
      <c r="H229" s="72" t="n">
        <f aca="false">IFERROR(H226/AVERAGE(F221:H221)*30.4,0)</f>
        <v>0</v>
      </c>
      <c r="I229" s="72" t="n">
        <f aca="false">IFERROR(I226/AVERAGE(G221:I221)*30.4,0)</f>
        <v>91.2</v>
      </c>
      <c r="J229" s="72" t="n">
        <f aca="false">IFERROR(J226/AVERAGE(H221:J221)*30.4,0)</f>
        <v>95.0742085714286</v>
      </c>
      <c r="K229" s="72" t="n">
        <f aca="false">IFERROR(K226/AVERAGE(I221:K221)*30.4,0)</f>
        <v>51.9913828571429</v>
      </c>
      <c r="L229" s="72" t="n">
        <f aca="false">IFERROR(L226/AVERAGE(J221:L221)*30.4,0)</f>
        <v>22.2933333333333</v>
      </c>
      <c r="M229" s="72" t="n">
        <f aca="false">IFERROR(M226/AVERAGE(K221:M221)*30.4,0)</f>
        <v>221.485714285714</v>
      </c>
      <c r="N229" s="72" t="n">
        <f aca="false">IFERROR(N226/AVERAGE(L221:N221)*30.4,0)</f>
        <v>103.503396226415</v>
      </c>
      <c r="O229" s="72" t="n">
        <f aca="false">IFERROR(O226/AVERAGE(M221:O221)*30.4,0)</f>
        <v>38.9750943396226</v>
      </c>
      <c r="P229" s="72" t="n">
        <f aca="false">IFERROR(P226/AVERAGE(N221:P221)*30.4,0)</f>
        <v>0</v>
      </c>
      <c r="Q229" s="72" t="n">
        <f aca="false">IFERROR(Q226/AVERAGE(O221:Q221)*30.4,0)</f>
        <v>0</v>
      </c>
      <c r="R229" s="72" t="n">
        <f aca="false">IFERROR(R226/AVERAGE(P221:R221)*30.4,0)</f>
        <v>0</v>
      </c>
      <c r="S229" s="72" t="n">
        <f aca="false">IFERROR(S226/AVERAGE(Q221:S221)*30.4,0)</f>
        <v>0</v>
      </c>
      <c r="T229" s="72" t="n">
        <f aca="false">IFERROR(T226/AVERAGE(R221:T221)*30.4,0)</f>
        <v>0</v>
      </c>
      <c r="U229" s="72" t="n">
        <f aca="false">IFERROR(U226/AVERAGE(S221:U221)*30.4,0)</f>
        <v>0</v>
      </c>
      <c r="V229" s="72" t="n">
        <f aca="false">IFERROR(V226/AVERAGE(T221:V221)*30.4,0)</f>
        <v>0</v>
      </c>
      <c r="W229" s="72" t="n">
        <f aca="false">IFERROR(W226/AVERAGE(U221:W221)*30.4,0)</f>
        <v>0</v>
      </c>
      <c r="X229" s="72" t="n">
        <f aca="false">IFERROR(X226/AVERAGE(V221:X221)*30.4,0)</f>
        <v>0</v>
      </c>
      <c r="Y229" s="72" t="n">
        <f aca="false">IFERROR(Y226/AVERAGE(W221:Y221)*30.4,0)</f>
        <v>0</v>
      </c>
      <c r="Z229" s="72" t="n">
        <f aca="false">IFERROR(Z226/AVERAGE(X221:Z221)*30.4,0)</f>
        <v>0</v>
      </c>
      <c r="AA229" s="72" t="n">
        <f aca="false">IFERROR(AA226/AVERAGE(Y221:AA221)*30.4,0)</f>
        <v>0</v>
      </c>
      <c r="AB229" s="72" t="n">
        <f aca="false">IFERROR(AB226/AVERAGE(Z221:AB221)*30.4,0)</f>
        <v>0</v>
      </c>
    </row>
    <row r="231" customFormat="false" ht="15" hidden="false" customHeight="false" outlineLevel="0" collapsed="false">
      <c r="A231" s="22" t="s">
        <v>742</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row>
    <row r="232" customFormat="false" ht="15" hidden="false" customHeight="false" outlineLevel="0" collapsed="false">
      <c r="A232" s="28" t="s">
        <v>331</v>
      </c>
      <c r="B232" s="58" t="s">
        <v>49</v>
      </c>
      <c r="C232" s="59" t="n">
        <f aca="false">SUM(E232:P232)</f>
        <v>222000</v>
      </c>
      <c r="D232" s="59" t="n">
        <f aca="false">SUM(Q232:AB232)</f>
        <v>196248</v>
      </c>
      <c r="E232" s="60" t="n">
        <f aca="false">Retainers!E70</f>
        <v>18500</v>
      </c>
      <c r="F232" s="60" t="n">
        <f aca="false">Retainers!F70</f>
        <v>18500</v>
      </c>
      <c r="G232" s="60" t="n">
        <f aca="false">Retainers!G70</f>
        <v>18500</v>
      </c>
      <c r="H232" s="60" t="n">
        <f aca="false">Retainers!H70</f>
        <v>18500</v>
      </c>
      <c r="I232" s="60" t="n">
        <f aca="false">Retainers!I70</f>
        <v>18500</v>
      </c>
      <c r="J232" s="60" t="n">
        <f aca="false">Retainers!J70</f>
        <v>18500</v>
      </c>
      <c r="K232" s="60" t="n">
        <f aca="false">Retainers!K70</f>
        <v>18500</v>
      </c>
      <c r="L232" s="60" t="n">
        <f aca="false">Retainers!L70</f>
        <v>18500</v>
      </c>
      <c r="M232" s="60" t="n">
        <f aca="false">Retainers!M70</f>
        <v>18500</v>
      </c>
      <c r="N232" s="60" t="n">
        <f aca="false">Retainers!N70</f>
        <v>18500</v>
      </c>
      <c r="O232" s="60" t="n">
        <f aca="false">Retainers!O70</f>
        <v>18500</v>
      </c>
      <c r="P232" s="60" t="n">
        <f aca="false">Retainers!P70</f>
        <v>18500</v>
      </c>
      <c r="Q232" s="60" t="n">
        <f aca="false">Retainers!Q70</f>
        <v>16354</v>
      </c>
      <c r="R232" s="60" t="n">
        <f aca="false">Retainers!R70</f>
        <v>16354</v>
      </c>
      <c r="S232" s="60" t="n">
        <f aca="false">Retainers!S70</f>
        <v>16354</v>
      </c>
      <c r="T232" s="60" t="n">
        <f aca="false">Retainers!T70</f>
        <v>16354</v>
      </c>
      <c r="U232" s="60" t="n">
        <f aca="false">Retainers!U70</f>
        <v>16354</v>
      </c>
      <c r="V232" s="60" t="n">
        <f aca="false">Retainers!V70</f>
        <v>16354</v>
      </c>
      <c r="W232" s="60" t="n">
        <f aca="false">Retainers!W70</f>
        <v>16354</v>
      </c>
      <c r="X232" s="60" t="n">
        <f aca="false">Retainers!X70</f>
        <v>16354</v>
      </c>
      <c r="Y232" s="60" t="n">
        <f aca="false">Retainers!Y70</f>
        <v>16354</v>
      </c>
      <c r="Z232" s="60" t="n">
        <f aca="false">Retainers!Z70</f>
        <v>16354</v>
      </c>
      <c r="AA232" s="60" t="n">
        <f aca="false">Retainers!AA70</f>
        <v>16354</v>
      </c>
      <c r="AB232" s="60" t="n">
        <f aca="false">Retainers!AB70</f>
        <v>16354</v>
      </c>
    </row>
    <row r="233" customFormat="false" ht="15" hidden="false" customHeight="false" outlineLevel="0" collapsed="false">
      <c r="A233" s="28" t="s">
        <v>700</v>
      </c>
      <c r="B233" s="58" t="s">
        <v>51</v>
      </c>
      <c r="C233" s="59" t="n">
        <f aca="false">SUM(E233:P233)</f>
        <v>41343.75</v>
      </c>
      <c r="D233" s="59" t="n">
        <f aca="false">SUM(Q233:AB233)</f>
        <v>7656.25</v>
      </c>
      <c r="E233" s="60" t="n">
        <f aca="false">Projects!E217</f>
        <v>0</v>
      </c>
      <c r="F233" s="60" t="n">
        <f aca="false">Projects!F217</f>
        <v>0</v>
      </c>
      <c r="G233" s="60" t="n">
        <f aca="false">Projects!G217</f>
        <v>0</v>
      </c>
      <c r="H233" s="60" t="n">
        <f aca="false">Projects!H217</f>
        <v>0</v>
      </c>
      <c r="I233" s="60" t="n">
        <f aca="false">Projects!I217</f>
        <v>0</v>
      </c>
      <c r="J233" s="60" t="n">
        <f aca="false">Projects!J217</f>
        <v>0</v>
      </c>
      <c r="K233" s="60" t="n">
        <f aca="false">Projects!K217</f>
        <v>0</v>
      </c>
      <c r="L233" s="60" t="n">
        <f aca="false">Projects!L217</f>
        <v>0</v>
      </c>
      <c r="M233" s="60" t="n">
        <f aca="false">Projects!M217</f>
        <v>0</v>
      </c>
      <c r="N233" s="60" t="n">
        <f aca="false">Projects!N217</f>
        <v>7656.25</v>
      </c>
      <c r="O233" s="60" t="n">
        <f aca="false">Projects!O217</f>
        <v>16843.75</v>
      </c>
      <c r="P233" s="60" t="n">
        <f aca="false">Projects!P217</f>
        <v>16843.75</v>
      </c>
      <c r="Q233" s="60" t="n">
        <f aca="false">Projects!Q217</f>
        <v>7656.25</v>
      </c>
      <c r="R233" s="60" t="n">
        <f aca="false">Projects!R217</f>
        <v>0</v>
      </c>
      <c r="S233" s="60" t="n">
        <f aca="false">Projects!S217</f>
        <v>0</v>
      </c>
      <c r="T233" s="60" t="n">
        <f aca="false">Projects!T217</f>
        <v>0</v>
      </c>
      <c r="U233" s="60" t="n">
        <f aca="false">Projects!U217</f>
        <v>0</v>
      </c>
      <c r="V233" s="60" t="n">
        <f aca="false">Projects!V217</f>
        <v>0</v>
      </c>
      <c r="W233" s="60" t="n">
        <f aca="false">Projects!W217</f>
        <v>0</v>
      </c>
      <c r="X233" s="60" t="n">
        <f aca="false">Projects!X217</f>
        <v>0</v>
      </c>
      <c r="Y233" s="60" t="n">
        <f aca="false">Projects!Y217</f>
        <v>0</v>
      </c>
      <c r="Z233" s="60" t="n">
        <f aca="false">Projects!Z217</f>
        <v>0</v>
      </c>
      <c r="AA233" s="60" t="n">
        <f aca="false">Projects!AA217</f>
        <v>0</v>
      </c>
      <c r="AB233" s="60" t="n">
        <f aca="false">Projects!AB217</f>
        <v>0</v>
      </c>
    </row>
    <row r="234" customFormat="false" ht="15" hidden="false" customHeight="false" outlineLevel="0" collapsed="false">
      <c r="A234" s="28" t="s">
        <v>333</v>
      </c>
      <c r="B234" s="58" t="s">
        <v>53</v>
      </c>
      <c r="C234" s="59" t="n">
        <f aca="false">SUM(E234:P234)</f>
        <v>0</v>
      </c>
      <c r="D234" s="59" t="n">
        <f aca="false">SUM(Q234:AB234)</f>
        <v>0</v>
      </c>
      <c r="E234" s="71" t="n">
        <f aca="false">0</f>
        <v>0</v>
      </c>
      <c r="F234" s="71" t="n">
        <f aca="false">0</f>
        <v>0</v>
      </c>
      <c r="G234" s="71" t="n">
        <f aca="false">0</f>
        <v>0</v>
      </c>
      <c r="H234" s="71" t="n">
        <f aca="false">0</f>
        <v>0</v>
      </c>
      <c r="I234" s="71" t="n">
        <f aca="false">0</f>
        <v>0</v>
      </c>
      <c r="J234" s="71" t="n">
        <f aca="false">0</f>
        <v>0</v>
      </c>
      <c r="K234" s="71" t="n">
        <f aca="false">0</f>
        <v>0</v>
      </c>
      <c r="L234" s="71" t="n">
        <f aca="false">0</f>
        <v>0</v>
      </c>
      <c r="M234" s="71" t="n">
        <f aca="false">0</f>
        <v>0</v>
      </c>
      <c r="N234" s="71" t="n">
        <f aca="false">0</f>
        <v>0</v>
      </c>
      <c r="O234" s="71" t="n">
        <f aca="false">0</f>
        <v>0</v>
      </c>
      <c r="P234" s="71" t="n">
        <f aca="false">0</f>
        <v>0</v>
      </c>
      <c r="Q234" s="71" t="n">
        <f aca="false">0</f>
        <v>0</v>
      </c>
      <c r="R234" s="71" t="n">
        <f aca="false">0</f>
        <v>0</v>
      </c>
      <c r="S234" s="71" t="n">
        <f aca="false">0</f>
        <v>0</v>
      </c>
      <c r="T234" s="71" t="n">
        <f aca="false">0</f>
        <v>0</v>
      </c>
      <c r="U234" s="71" t="n">
        <f aca="false">0</f>
        <v>0</v>
      </c>
      <c r="V234" s="71" t="n">
        <f aca="false">0</f>
        <v>0</v>
      </c>
      <c r="W234" s="71" t="n">
        <f aca="false">0</f>
        <v>0</v>
      </c>
      <c r="X234" s="71" t="n">
        <f aca="false">0</f>
        <v>0</v>
      </c>
      <c r="Y234" s="71" t="n">
        <f aca="false">0</f>
        <v>0</v>
      </c>
      <c r="Z234" s="71" t="n">
        <f aca="false">0</f>
        <v>0</v>
      </c>
      <c r="AA234" s="71" t="n">
        <f aca="false">0</f>
        <v>0</v>
      </c>
      <c r="AB234" s="71" t="n">
        <f aca="false">0</f>
        <v>0</v>
      </c>
    </row>
    <row r="235" customFormat="false" ht="15" hidden="false" customHeight="false" outlineLevel="0" collapsed="false">
      <c r="A235" s="28" t="s">
        <v>334</v>
      </c>
      <c r="B235" s="58" t="s">
        <v>53</v>
      </c>
      <c r="C235" s="59" t="n">
        <f aca="false">SUM(E235:P235)</f>
        <v>0</v>
      </c>
      <c r="D235" s="59" t="n">
        <f aca="false">SUM(Q235:AB235)</f>
        <v>0</v>
      </c>
      <c r="E235" s="71" t="n">
        <f aca="false">0</f>
        <v>0</v>
      </c>
      <c r="F235" s="71" t="n">
        <f aca="false">0</f>
        <v>0</v>
      </c>
      <c r="G235" s="71" t="n">
        <f aca="false">0</f>
        <v>0</v>
      </c>
      <c r="H235" s="71" t="n">
        <f aca="false">0</f>
        <v>0</v>
      </c>
      <c r="I235" s="71" t="n">
        <f aca="false">0</f>
        <v>0</v>
      </c>
      <c r="J235" s="71" t="n">
        <f aca="false">0</f>
        <v>0</v>
      </c>
      <c r="K235" s="71" t="n">
        <f aca="false">0</f>
        <v>0</v>
      </c>
      <c r="L235" s="71" t="n">
        <f aca="false">0</f>
        <v>0</v>
      </c>
      <c r="M235" s="71" t="n">
        <f aca="false">0</f>
        <v>0</v>
      </c>
      <c r="N235" s="71" t="n">
        <f aca="false">0</f>
        <v>0</v>
      </c>
      <c r="O235" s="71" t="n">
        <f aca="false">0</f>
        <v>0</v>
      </c>
      <c r="P235" s="71" t="n">
        <f aca="false">0</f>
        <v>0</v>
      </c>
      <c r="Q235" s="71" t="n">
        <f aca="false">0</f>
        <v>0</v>
      </c>
      <c r="R235" s="71" t="n">
        <f aca="false">0</f>
        <v>0</v>
      </c>
      <c r="S235" s="71" t="n">
        <f aca="false">0</f>
        <v>0</v>
      </c>
      <c r="T235" s="71" t="n">
        <f aca="false">0</f>
        <v>0</v>
      </c>
      <c r="U235" s="71" t="n">
        <f aca="false">0</f>
        <v>0</v>
      </c>
      <c r="V235" s="71" t="n">
        <f aca="false">0</f>
        <v>0</v>
      </c>
      <c r="W235" s="71" t="n">
        <f aca="false">0</f>
        <v>0</v>
      </c>
      <c r="X235" s="71" t="n">
        <f aca="false">0</f>
        <v>0</v>
      </c>
      <c r="Y235" s="71" t="n">
        <f aca="false">0</f>
        <v>0</v>
      </c>
      <c r="Z235" s="71" t="n">
        <f aca="false">0</f>
        <v>0</v>
      </c>
      <c r="AA235" s="71" t="n">
        <f aca="false">0</f>
        <v>0</v>
      </c>
      <c r="AB235" s="71" t="n">
        <f aca="false">0</f>
        <v>0</v>
      </c>
    </row>
    <row r="236" customFormat="false" ht="15" hidden="false" customHeight="false" outlineLevel="0" collapsed="false">
      <c r="A236" s="28" t="s">
        <v>701</v>
      </c>
      <c r="B236" s="58" t="s">
        <v>51</v>
      </c>
      <c r="C236" s="59" t="n">
        <f aca="false">SUM(E236:P236)</f>
        <v>0</v>
      </c>
      <c r="D236" s="59" t="n">
        <f aca="false">SUM(Q236:AB236)</f>
        <v>0</v>
      </c>
      <c r="E236" s="71" t="n">
        <f aca="false">0</f>
        <v>0</v>
      </c>
      <c r="F236" s="71" t="n">
        <f aca="false">0</f>
        <v>0</v>
      </c>
      <c r="G236" s="71" t="n">
        <f aca="false">0</f>
        <v>0</v>
      </c>
      <c r="H236" s="71" t="n">
        <f aca="false">0</f>
        <v>0</v>
      </c>
      <c r="I236" s="71" t="n">
        <f aca="false">0</f>
        <v>0</v>
      </c>
      <c r="J236" s="71" t="n">
        <f aca="false">0</f>
        <v>0</v>
      </c>
      <c r="K236" s="71" t="n">
        <f aca="false">0</f>
        <v>0</v>
      </c>
      <c r="L236" s="71" t="n">
        <f aca="false">0</f>
        <v>0</v>
      </c>
      <c r="M236" s="71" t="n">
        <f aca="false">0</f>
        <v>0</v>
      </c>
      <c r="N236" s="71" t="n">
        <f aca="false">0</f>
        <v>0</v>
      </c>
      <c r="O236" s="71" t="n">
        <f aca="false">0</f>
        <v>0</v>
      </c>
      <c r="P236" s="71" t="n">
        <f aca="false">0</f>
        <v>0</v>
      </c>
      <c r="Q236" s="71" t="n">
        <f aca="false">0</f>
        <v>0</v>
      </c>
      <c r="R236" s="71" t="n">
        <f aca="false">0</f>
        <v>0</v>
      </c>
      <c r="S236" s="71" t="n">
        <f aca="false">0</f>
        <v>0</v>
      </c>
      <c r="T236" s="71" t="n">
        <f aca="false">0</f>
        <v>0</v>
      </c>
      <c r="U236" s="71" t="n">
        <f aca="false">0</f>
        <v>0</v>
      </c>
      <c r="V236" s="71" t="n">
        <f aca="false">0</f>
        <v>0</v>
      </c>
      <c r="W236" s="71" t="n">
        <f aca="false">0</f>
        <v>0</v>
      </c>
      <c r="X236" s="71" t="n">
        <f aca="false">0</f>
        <v>0</v>
      </c>
      <c r="Y236" s="71" t="n">
        <f aca="false">0</f>
        <v>0</v>
      </c>
      <c r="Z236" s="71" t="n">
        <f aca="false">0</f>
        <v>0</v>
      </c>
      <c r="AA236" s="71" t="n">
        <f aca="false">0</f>
        <v>0</v>
      </c>
      <c r="AB236" s="71" t="n">
        <f aca="false">0</f>
        <v>0</v>
      </c>
    </row>
    <row r="237" customFormat="false" ht="15" hidden="false" customHeight="false" outlineLevel="0" collapsed="false">
      <c r="A237" s="68" t="s">
        <v>743</v>
      </c>
      <c r="B237" s="69"/>
      <c r="C237" s="70" t="n">
        <f aca="false">SUM(E237:P237)</f>
        <v>263343.75</v>
      </c>
      <c r="D237" s="70" t="n">
        <f aca="false">SUM(Q237:AB237)</f>
        <v>203904.25</v>
      </c>
      <c r="E237" s="70" t="n">
        <f aca="false">SUM(E232:E236)</f>
        <v>18500</v>
      </c>
      <c r="F237" s="70" t="n">
        <f aca="false">SUM(F232:F236)</f>
        <v>18500</v>
      </c>
      <c r="G237" s="70" t="n">
        <f aca="false">SUM(G232:G236)</f>
        <v>18500</v>
      </c>
      <c r="H237" s="70" t="n">
        <f aca="false">SUM(H232:H236)</f>
        <v>18500</v>
      </c>
      <c r="I237" s="70" t="n">
        <f aca="false">SUM(I232:I236)</f>
        <v>18500</v>
      </c>
      <c r="J237" s="70" t="n">
        <f aca="false">SUM(J232:J236)</f>
        <v>18500</v>
      </c>
      <c r="K237" s="70" t="n">
        <f aca="false">SUM(K232:K236)</f>
        <v>18500</v>
      </c>
      <c r="L237" s="70" t="n">
        <f aca="false">SUM(L232:L236)</f>
        <v>18500</v>
      </c>
      <c r="M237" s="70" t="n">
        <f aca="false">SUM(M232:M236)</f>
        <v>18500</v>
      </c>
      <c r="N237" s="70" t="n">
        <f aca="false">SUM(N232:N236)</f>
        <v>26156.25</v>
      </c>
      <c r="O237" s="70" t="n">
        <f aca="false">SUM(O232:O236)</f>
        <v>35343.75</v>
      </c>
      <c r="P237" s="70" t="n">
        <f aca="false">SUM(P232:P236)</f>
        <v>35343.75</v>
      </c>
      <c r="Q237" s="70" t="n">
        <f aca="false">SUM(Q232:Q236)</f>
        <v>24010.25</v>
      </c>
      <c r="R237" s="70" t="n">
        <f aca="false">SUM(R232:R236)</f>
        <v>16354</v>
      </c>
      <c r="S237" s="70" t="n">
        <f aca="false">SUM(S232:S236)</f>
        <v>16354</v>
      </c>
      <c r="T237" s="70" t="n">
        <f aca="false">SUM(T232:T236)</f>
        <v>16354</v>
      </c>
      <c r="U237" s="70" t="n">
        <f aca="false">SUM(U232:U236)</f>
        <v>16354</v>
      </c>
      <c r="V237" s="70" t="n">
        <f aca="false">SUM(V232:V236)</f>
        <v>16354</v>
      </c>
      <c r="W237" s="70" t="n">
        <f aca="false">SUM(W232:W236)</f>
        <v>16354</v>
      </c>
      <c r="X237" s="70" t="n">
        <f aca="false">SUM(X232:X236)</f>
        <v>16354</v>
      </c>
      <c r="Y237" s="70" t="n">
        <f aca="false">SUM(Y232:Y236)</f>
        <v>16354</v>
      </c>
      <c r="Z237" s="70" t="n">
        <f aca="false">SUM(Z232:Z236)</f>
        <v>16354</v>
      </c>
      <c r="AA237" s="70" t="n">
        <f aca="false">SUM(AA232:AA236)</f>
        <v>16354</v>
      </c>
      <c r="AB237" s="70" t="n">
        <f aca="false">SUM(AB232:AB236)</f>
        <v>16354</v>
      </c>
    </row>
    <row r="238" customFormat="false" ht="15" hidden="false" customHeight="false" outlineLevel="0" collapsed="false">
      <c r="A238" s="28" t="s">
        <v>703</v>
      </c>
      <c r="B238" s="58"/>
      <c r="C238" s="59" t="n">
        <f aca="false">SUM(E238:P238)</f>
        <v>263343.75</v>
      </c>
      <c r="D238" s="59" t="n">
        <f aca="false">SUM(Q238:AB238)</f>
        <v>203904.25</v>
      </c>
      <c r="E238" s="71" t="n">
        <f aca="false">E237/1</f>
        <v>18500</v>
      </c>
      <c r="F238" s="71" t="n">
        <f aca="false">F237/1</f>
        <v>18500</v>
      </c>
      <c r="G238" s="71" t="n">
        <f aca="false">G237/1</f>
        <v>18500</v>
      </c>
      <c r="H238" s="71" t="n">
        <f aca="false">H237/1</f>
        <v>18500</v>
      </c>
      <c r="I238" s="71" t="n">
        <f aca="false">I237/1</f>
        <v>18500</v>
      </c>
      <c r="J238" s="71" t="n">
        <f aca="false">J237/1</f>
        <v>18500</v>
      </c>
      <c r="K238" s="71" t="n">
        <f aca="false">K237/1</f>
        <v>18500</v>
      </c>
      <c r="L238" s="71" t="n">
        <f aca="false">L237/1</f>
        <v>18500</v>
      </c>
      <c r="M238" s="71" t="n">
        <f aca="false">M237/1</f>
        <v>18500</v>
      </c>
      <c r="N238" s="71" t="n">
        <f aca="false">N237/1</f>
        <v>26156.25</v>
      </c>
      <c r="O238" s="71" t="n">
        <f aca="false">O237/1</f>
        <v>35343.75</v>
      </c>
      <c r="P238" s="71" t="n">
        <f aca="false">P237/1</f>
        <v>35343.75</v>
      </c>
      <c r="Q238" s="71" t="n">
        <f aca="false">Q237/1</f>
        <v>24010.25</v>
      </c>
      <c r="R238" s="71" t="n">
        <f aca="false">R237/1</f>
        <v>16354</v>
      </c>
      <c r="S238" s="71" t="n">
        <f aca="false">S237/1</f>
        <v>16354</v>
      </c>
      <c r="T238" s="71" t="n">
        <f aca="false">T237/1</f>
        <v>16354</v>
      </c>
      <c r="U238" s="71" t="n">
        <f aca="false">U237/1</f>
        <v>16354</v>
      </c>
      <c r="V238" s="71" t="n">
        <f aca="false">V237/1</f>
        <v>16354</v>
      </c>
      <c r="W238" s="71" t="n">
        <f aca="false">W237/1</f>
        <v>16354</v>
      </c>
      <c r="X238" s="71" t="n">
        <f aca="false">X237/1</f>
        <v>16354</v>
      </c>
      <c r="Y238" s="71" t="n">
        <f aca="false">Y237/1</f>
        <v>16354</v>
      </c>
      <c r="Z238" s="71" t="n">
        <f aca="false">Z237/1</f>
        <v>16354</v>
      </c>
      <c r="AA238" s="71" t="n">
        <f aca="false">AA237/1</f>
        <v>16354</v>
      </c>
      <c r="AB238" s="71" t="n">
        <f aca="false">AB237/1</f>
        <v>16354</v>
      </c>
    </row>
    <row r="239" customFormat="false" ht="15" hidden="false" customHeight="false" outlineLevel="0" collapsed="false">
      <c r="A239" s="28" t="s">
        <v>704</v>
      </c>
      <c r="B239" s="58" t="s">
        <v>51</v>
      </c>
      <c r="C239" s="59" t="n">
        <f aca="false">SUM(E239:P239)</f>
        <v>0</v>
      </c>
      <c r="D239" s="59" t="n">
        <f aca="false">SUM(Q239:AB239)</f>
        <v>0</v>
      </c>
      <c r="E239" s="71" t="n">
        <f aca="false">0</f>
        <v>0</v>
      </c>
      <c r="F239" s="71" t="n">
        <f aca="false">0</f>
        <v>0</v>
      </c>
      <c r="G239" s="71" t="n">
        <f aca="false">0</f>
        <v>0</v>
      </c>
      <c r="H239" s="71" t="n">
        <f aca="false">0</f>
        <v>0</v>
      </c>
      <c r="I239" s="71" t="n">
        <f aca="false">0</f>
        <v>0</v>
      </c>
      <c r="J239" s="71" t="n">
        <f aca="false">0</f>
        <v>0</v>
      </c>
      <c r="K239" s="71" t="n">
        <f aca="false">0</f>
        <v>0</v>
      </c>
      <c r="L239" s="71" t="n">
        <f aca="false">0</f>
        <v>0</v>
      </c>
      <c r="M239" s="71" t="n">
        <f aca="false">0</f>
        <v>0</v>
      </c>
      <c r="N239" s="71" t="n">
        <f aca="false">0</f>
        <v>0</v>
      </c>
      <c r="O239" s="71" t="n">
        <f aca="false">0</f>
        <v>0</v>
      </c>
      <c r="P239" s="71" t="n">
        <f aca="false">0</f>
        <v>0</v>
      </c>
      <c r="Q239" s="71" t="n">
        <f aca="false">0</f>
        <v>0</v>
      </c>
      <c r="R239" s="71" t="n">
        <f aca="false">0</f>
        <v>0</v>
      </c>
      <c r="S239" s="71" t="n">
        <f aca="false">0</f>
        <v>0</v>
      </c>
      <c r="T239" s="71" t="n">
        <f aca="false">0</f>
        <v>0</v>
      </c>
      <c r="U239" s="71" t="n">
        <f aca="false">0</f>
        <v>0</v>
      </c>
      <c r="V239" s="71" t="n">
        <f aca="false">0</f>
        <v>0</v>
      </c>
      <c r="W239" s="71" t="n">
        <f aca="false">0</f>
        <v>0</v>
      </c>
      <c r="X239" s="71" t="n">
        <f aca="false">0</f>
        <v>0</v>
      </c>
      <c r="Y239" s="71" t="n">
        <f aca="false">0</f>
        <v>0</v>
      </c>
      <c r="Z239" s="71" t="n">
        <f aca="false">0</f>
        <v>0</v>
      </c>
      <c r="AA239" s="71" t="n">
        <f aca="false">0</f>
        <v>0</v>
      </c>
      <c r="AB239" s="71" t="n">
        <f aca="false">0</f>
        <v>0</v>
      </c>
    </row>
    <row r="240" customFormat="false" ht="15" hidden="false" customHeight="false" outlineLevel="0" collapsed="false">
      <c r="A240" s="68" t="s">
        <v>705</v>
      </c>
      <c r="B240" s="69" t="s">
        <v>706</v>
      </c>
      <c r="C240" s="70" t="n">
        <f aca="false">SUM(E240:P240)</f>
        <v>263343.75</v>
      </c>
      <c r="D240" s="70" t="n">
        <f aca="false">SUM(Q240:AB240)</f>
        <v>203904.25</v>
      </c>
      <c r="E240" s="70" t="n">
        <f aca="false">E238-E239</f>
        <v>18500</v>
      </c>
      <c r="F240" s="70" t="n">
        <f aca="false">F238-F239</f>
        <v>18500</v>
      </c>
      <c r="G240" s="70" t="n">
        <f aca="false">G238-G239</f>
        <v>18500</v>
      </c>
      <c r="H240" s="70" t="n">
        <f aca="false">H238-H239</f>
        <v>18500</v>
      </c>
      <c r="I240" s="70" t="n">
        <f aca="false">I238-I239</f>
        <v>18500</v>
      </c>
      <c r="J240" s="70" t="n">
        <f aca="false">J238-J239</f>
        <v>18500</v>
      </c>
      <c r="K240" s="70" t="n">
        <f aca="false">K238-K239</f>
        <v>18500</v>
      </c>
      <c r="L240" s="70" t="n">
        <f aca="false">L238-L239</f>
        <v>18500</v>
      </c>
      <c r="M240" s="70" t="n">
        <f aca="false">M238-M239</f>
        <v>18500</v>
      </c>
      <c r="N240" s="70" t="n">
        <f aca="false">N238-N239</f>
        <v>26156.25</v>
      </c>
      <c r="O240" s="70" t="n">
        <f aca="false">O238-O239</f>
        <v>35343.75</v>
      </c>
      <c r="P240" s="70" t="n">
        <f aca="false">P238-P239</f>
        <v>35343.75</v>
      </c>
      <c r="Q240" s="70" t="n">
        <f aca="false">Q238-Q239</f>
        <v>24010.25</v>
      </c>
      <c r="R240" s="70" t="n">
        <f aca="false">R238-R239</f>
        <v>16354</v>
      </c>
      <c r="S240" s="70" t="n">
        <f aca="false">S238-S239</f>
        <v>16354</v>
      </c>
      <c r="T240" s="70" t="n">
        <f aca="false">T238-T239</f>
        <v>16354</v>
      </c>
      <c r="U240" s="70" t="n">
        <f aca="false">U238-U239</f>
        <v>16354</v>
      </c>
      <c r="V240" s="70" t="n">
        <f aca="false">V238-V239</f>
        <v>16354</v>
      </c>
      <c r="W240" s="70" t="n">
        <f aca="false">W238-W239</f>
        <v>16354</v>
      </c>
      <c r="X240" s="70" t="n">
        <f aca="false">X238-X239</f>
        <v>16354</v>
      </c>
      <c r="Y240" s="70" t="n">
        <f aca="false">Y238-Y239</f>
        <v>16354</v>
      </c>
      <c r="Z240" s="70" t="n">
        <f aca="false">Z238-Z239</f>
        <v>16354</v>
      </c>
      <c r="AA240" s="70" t="n">
        <f aca="false">AA238-AA239</f>
        <v>16354</v>
      </c>
      <c r="AB240" s="70" t="n">
        <f aca="false">AB238-AB239</f>
        <v>16354</v>
      </c>
    </row>
    <row r="241" customFormat="false" ht="15" hidden="false" customHeight="false" outlineLevel="0" collapsed="false">
      <c r="A241" s="28" t="s">
        <v>707</v>
      </c>
      <c r="B241" s="58" t="s">
        <v>708</v>
      </c>
      <c r="C241" s="66" t="n">
        <f aca="false">SUM(E241:P241)</f>
        <v>3234.1125</v>
      </c>
      <c r="D241" s="66" t="n">
        <f aca="false">SUM(Q241:AB241)</f>
        <v>2372.00875</v>
      </c>
      <c r="E241" s="67" t="n">
        <f aca="false">Retainers!E73+Projects!E211</f>
        <v>245.6</v>
      </c>
      <c r="F241" s="67" t="n">
        <f aca="false">Retainers!F73+Projects!F211</f>
        <v>240.6</v>
      </c>
      <c r="G241" s="67" t="n">
        <f aca="false">Retainers!G73+Projects!G211</f>
        <v>251</v>
      </c>
      <c r="H241" s="67" t="n">
        <f aca="false">Retainers!H73+Projects!H211</f>
        <v>231.6</v>
      </c>
      <c r="I241" s="67" t="n">
        <f aca="false">Retainers!I73+Projects!I211</f>
        <v>238.5</v>
      </c>
      <c r="J241" s="67" t="n">
        <f aca="false">Retainers!J73+Projects!J211</f>
        <v>233.5</v>
      </c>
      <c r="K241" s="67" t="n">
        <f aca="false">Retainers!K73+Projects!K211</f>
        <v>245.4</v>
      </c>
      <c r="L241" s="67" t="n">
        <f aca="false">Retainers!L73+Projects!L211</f>
        <v>234.3</v>
      </c>
      <c r="M241" s="67" t="n">
        <f aca="false">Retainers!M73+Projects!M211</f>
        <v>225.04375</v>
      </c>
      <c r="N241" s="67" t="n">
        <f aca="false">Retainers!N73+Projects!N211</f>
        <v>301.60625</v>
      </c>
      <c r="O241" s="67" t="n">
        <f aca="false">Retainers!O73+Projects!O211</f>
        <v>393.48125</v>
      </c>
      <c r="P241" s="67" t="n">
        <f aca="false">Retainers!P73+Projects!P211</f>
        <v>393.48125</v>
      </c>
      <c r="Q241" s="67" t="n">
        <f aca="false">Retainers!Q73+Projects!Q211</f>
        <v>267.8496875</v>
      </c>
      <c r="R241" s="67" t="n">
        <f aca="false">Retainers!R73+Projects!R211</f>
        <v>191.2871875</v>
      </c>
      <c r="S241" s="67" t="n">
        <f aca="false">Retainers!S73+Projects!S211</f>
        <v>191.2871875</v>
      </c>
      <c r="T241" s="67" t="n">
        <f aca="false">Retainers!T73+Projects!T211</f>
        <v>191.2871875</v>
      </c>
      <c r="U241" s="67" t="n">
        <f aca="false">Retainers!U73+Projects!U211</f>
        <v>191.2871875</v>
      </c>
      <c r="V241" s="67" t="n">
        <f aca="false">Retainers!V73+Projects!V211</f>
        <v>191.2871875</v>
      </c>
      <c r="W241" s="67" t="n">
        <f aca="false">Retainers!W73+Projects!W211</f>
        <v>191.2871875</v>
      </c>
      <c r="X241" s="67" t="n">
        <f aca="false">Retainers!X73+Projects!X211</f>
        <v>191.2871875</v>
      </c>
      <c r="Y241" s="67" t="n">
        <f aca="false">Retainers!Y73+Projects!Y211</f>
        <v>191.2871875</v>
      </c>
      <c r="Z241" s="67" t="n">
        <f aca="false">Retainers!Z73+Projects!Z211</f>
        <v>191.2871875</v>
      </c>
      <c r="AA241" s="67" t="n">
        <f aca="false">Retainers!AA73+Projects!AA211</f>
        <v>191.2871875</v>
      </c>
      <c r="AB241" s="67" t="n">
        <f aca="false">Retainers!AB73+Projects!AB211</f>
        <v>191.2871875</v>
      </c>
    </row>
    <row r="242" customFormat="false" ht="15" hidden="false" customHeight="false" outlineLevel="0" collapsed="false">
      <c r="A242" s="28" t="s">
        <v>709</v>
      </c>
      <c r="B242" s="58" t="s">
        <v>710</v>
      </c>
      <c r="C242" s="59" t="n">
        <f aca="false">SUM(E242:P242)</f>
        <v>153105.593671346</v>
      </c>
      <c r="D242" s="59" t="n">
        <f aca="false">SUM(Q242:AB242)</f>
        <v>115831.809486809</v>
      </c>
      <c r="E242" s="60" t="n">
        <f aca="false">Retainers!E73*Utilisation!E88+Projects!E211*Utilisation!E91</f>
        <v>11426.1960469505</v>
      </c>
      <c r="F242" s="60" t="n">
        <f aca="false">Retainers!F73*Utilisation!F88+Projects!F211*Utilisation!F91</f>
        <v>11193.578049252</v>
      </c>
      <c r="G242" s="60" t="n">
        <f aca="false">Retainers!G73*Utilisation!G88+Projects!G211*Utilisation!G91</f>
        <v>11677.4234844649</v>
      </c>
      <c r="H242" s="60" t="n">
        <f aca="false">Retainers!H73*Utilisation!H88+Projects!H211*Utilisation!H91</f>
        <v>10774.8656533947</v>
      </c>
      <c r="I242" s="60" t="n">
        <f aca="false">Retainers!I73*Utilisation!I88+Projects!I211*Utilisation!I91</f>
        <v>11095.8784902186</v>
      </c>
      <c r="J242" s="60" t="n">
        <f aca="false">Retainers!J73*Utilisation!J88+Projects!J211*Utilisation!J91</f>
        <v>10863.2604925201</v>
      </c>
      <c r="K242" s="60" t="n">
        <f aca="false">Retainers!K73*Utilisation!K88+Projects!K211*Utilisation!K91</f>
        <v>11416.8913270426</v>
      </c>
      <c r="L242" s="60" t="n">
        <f aca="false">Retainers!L73*Utilisation!L88+Projects!L211*Utilisation!L91</f>
        <v>10900.4793721519</v>
      </c>
      <c r="M242" s="60" t="n">
        <f aca="false">Retainers!M73*Utilisation!M88+Projects!M211*Utilisation!M91</f>
        <v>10469.8453039125</v>
      </c>
      <c r="N242" s="60" t="n">
        <f aca="false">Retainers!N73*Utilisation!N88+Projects!N211*Utilisation!N91</f>
        <v>14521.2600334868</v>
      </c>
      <c r="O242" s="60" t="n">
        <f aca="false">Retainers!O73*Utilisation!O88+Projects!O211*Utilisation!O91</f>
        <v>19382.9577089758</v>
      </c>
      <c r="P242" s="60" t="n">
        <f aca="false">Retainers!P73*Utilisation!P88+Projects!P211*Utilisation!P91</f>
        <v>19382.9577089758</v>
      </c>
      <c r="Q242" s="60" t="n">
        <f aca="false">Retainers!Q73*Utilisation!Q88+Projects!Q211*Utilisation!Q91</f>
        <v>13533.5684836054</v>
      </c>
      <c r="R242" s="60" t="n">
        <f aca="false">Retainers!R73*Utilisation!R88+Projects!R211*Utilisation!R91</f>
        <v>9299.84009120032</v>
      </c>
      <c r="S242" s="60" t="n">
        <f aca="false">Retainers!S73*Utilisation!S88+Projects!S211*Utilisation!S91</f>
        <v>9299.84009120032</v>
      </c>
      <c r="T242" s="60" t="n">
        <f aca="false">Retainers!T73*Utilisation!T88+Projects!T211*Utilisation!T91</f>
        <v>9299.84009120032</v>
      </c>
      <c r="U242" s="60" t="n">
        <f aca="false">Retainers!U73*Utilisation!U88+Projects!U211*Utilisation!U91</f>
        <v>9299.84009120032</v>
      </c>
      <c r="V242" s="60" t="n">
        <f aca="false">Retainers!V73*Utilisation!V88+Projects!V211*Utilisation!V91</f>
        <v>9299.84009120032</v>
      </c>
      <c r="W242" s="60" t="n">
        <f aca="false">Retainers!W73*Utilisation!W88+Projects!W211*Utilisation!W91</f>
        <v>9299.84009120032</v>
      </c>
      <c r="X242" s="60" t="n">
        <f aca="false">Retainers!X73*Utilisation!X88+Projects!X211*Utilisation!X91</f>
        <v>9299.84009120032</v>
      </c>
      <c r="Y242" s="60" t="n">
        <f aca="false">Retainers!Y73*Utilisation!Y88+Projects!Y211*Utilisation!Y91</f>
        <v>9299.84009120032</v>
      </c>
      <c r="Z242" s="60" t="n">
        <f aca="false">Retainers!Z73*Utilisation!Z88+Projects!Z211*Utilisation!Z91</f>
        <v>9299.84009120032</v>
      </c>
      <c r="AA242" s="60" t="n">
        <f aca="false">Retainers!AA73*Utilisation!AA88+Projects!AA211*Utilisation!AA91</f>
        <v>9299.84009120032</v>
      </c>
      <c r="AB242" s="60" t="n">
        <f aca="false">Retainers!AB73*Utilisation!AB88+Projects!AB211*Utilisation!AB91</f>
        <v>9299.84009120032</v>
      </c>
    </row>
    <row r="243" customFormat="false" ht="15" hidden="false" customHeight="false" outlineLevel="0" collapsed="false">
      <c r="A243" s="28" t="s">
        <v>711</v>
      </c>
      <c r="B243" s="58" t="s">
        <v>53</v>
      </c>
      <c r="C243" s="59" t="n">
        <f aca="false">SUM(E243:P243)</f>
        <v>0</v>
      </c>
      <c r="D243" s="59" t="n">
        <f aca="false">SUM(Q243:AB243)</f>
        <v>0</v>
      </c>
      <c r="E243" s="71" t="n">
        <f aca="false">0</f>
        <v>0</v>
      </c>
      <c r="F243" s="71" t="n">
        <f aca="false">0</f>
        <v>0</v>
      </c>
      <c r="G243" s="71" t="n">
        <f aca="false">0</f>
        <v>0</v>
      </c>
      <c r="H243" s="71" t="n">
        <f aca="false">0</f>
        <v>0</v>
      </c>
      <c r="I243" s="71" t="n">
        <f aca="false">0</f>
        <v>0</v>
      </c>
      <c r="J243" s="71" t="n">
        <f aca="false">0</f>
        <v>0</v>
      </c>
      <c r="K243" s="71" t="n">
        <f aca="false">0</f>
        <v>0</v>
      </c>
      <c r="L243" s="71" t="n">
        <f aca="false">0</f>
        <v>0</v>
      </c>
      <c r="M243" s="71" t="n">
        <f aca="false">0</f>
        <v>0</v>
      </c>
      <c r="N243" s="71" t="n">
        <f aca="false">0</f>
        <v>0</v>
      </c>
      <c r="O243" s="71" t="n">
        <f aca="false">0</f>
        <v>0</v>
      </c>
      <c r="P243" s="71" t="n">
        <f aca="false">0</f>
        <v>0</v>
      </c>
      <c r="Q243" s="71" t="n">
        <f aca="false">0</f>
        <v>0</v>
      </c>
      <c r="R243" s="71" t="n">
        <f aca="false">0</f>
        <v>0</v>
      </c>
      <c r="S243" s="71" t="n">
        <f aca="false">0</f>
        <v>0</v>
      </c>
      <c r="T243" s="71" t="n">
        <f aca="false">0</f>
        <v>0</v>
      </c>
      <c r="U243" s="71" t="n">
        <f aca="false">0</f>
        <v>0</v>
      </c>
      <c r="V243" s="71" t="n">
        <f aca="false">0</f>
        <v>0</v>
      </c>
      <c r="W243" s="71" t="n">
        <f aca="false">0</f>
        <v>0</v>
      </c>
      <c r="X243" s="71" t="n">
        <f aca="false">0</f>
        <v>0</v>
      </c>
      <c r="Y243" s="71" t="n">
        <f aca="false">0</f>
        <v>0</v>
      </c>
      <c r="Z243" s="71" t="n">
        <f aca="false">0</f>
        <v>0</v>
      </c>
      <c r="AA243" s="71" t="n">
        <f aca="false">0</f>
        <v>0</v>
      </c>
      <c r="AB243" s="71" t="n">
        <f aca="false">0</f>
        <v>0</v>
      </c>
    </row>
    <row r="244" customFormat="false" ht="15" hidden="false" customHeight="false" outlineLevel="0" collapsed="false">
      <c r="A244" s="28" t="s">
        <v>712</v>
      </c>
      <c r="B244" s="58" t="s">
        <v>713</v>
      </c>
      <c r="C244" s="59" t="n">
        <f aca="false">SUM(E244:P244)</f>
        <v>256300</v>
      </c>
      <c r="D244" s="59" t="n">
        <f aca="false">SUM(Q244:AB244)</f>
        <v>210948</v>
      </c>
      <c r="E244" s="60" t="n">
        <f aca="false">Retainers!E76+Projects!E219+E235+E243+E236</f>
        <v>18500</v>
      </c>
      <c r="F244" s="60" t="n">
        <f aca="false">Retainers!F76+Projects!F219+F235+F243+F236</f>
        <v>18500</v>
      </c>
      <c r="G244" s="60" t="n">
        <f aca="false">Retainers!G76+Projects!G219+G235+G243+G236</f>
        <v>18500</v>
      </c>
      <c r="H244" s="60" t="n">
        <f aca="false">Retainers!H76+Projects!H219+H235+H243+H236</f>
        <v>18500</v>
      </c>
      <c r="I244" s="60" t="n">
        <f aca="false">Retainers!I76+Projects!I219+I235+I243+I236</f>
        <v>18500</v>
      </c>
      <c r="J244" s="60" t="n">
        <f aca="false">Retainers!J76+Projects!J219+J235+J243+J236</f>
        <v>18500</v>
      </c>
      <c r="K244" s="60" t="n">
        <f aca="false">Retainers!K76+Projects!K219+K235+K243+K236</f>
        <v>18500</v>
      </c>
      <c r="L244" s="60" t="n">
        <f aca="false">Retainers!L76+Projects!L219+L235+L243+L236</f>
        <v>18500</v>
      </c>
      <c r="M244" s="60" t="n">
        <f aca="false">Retainers!M76+Projects!M219+M235+M243+M236</f>
        <v>18500</v>
      </c>
      <c r="N244" s="60" t="n">
        <f aca="false">Retainers!N76+Projects!N219+N235+N243+N236</f>
        <v>33200</v>
      </c>
      <c r="O244" s="60" t="n">
        <f aca="false">Retainers!O76+Projects!O219+O235+O243+O236</f>
        <v>18500</v>
      </c>
      <c r="P244" s="60" t="n">
        <f aca="false">Retainers!P76+Projects!P219+P235+P243+P236</f>
        <v>38100</v>
      </c>
      <c r="Q244" s="60" t="n">
        <f aca="false">Retainers!Q76+Projects!Q219+Q235+Q243+Q236</f>
        <v>31054</v>
      </c>
      <c r="R244" s="60" t="n">
        <f aca="false">Retainers!R76+Projects!R219+R235+R243+R236</f>
        <v>16354</v>
      </c>
      <c r="S244" s="60" t="n">
        <f aca="false">Retainers!S76+Projects!S219+S235+S243+S236</f>
        <v>16354</v>
      </c>
      <c r="T244" s="60" t="n">
        <f aca="false">Retainers!T76+Projects!T219+T235+T243+T236</f>
        <v>16354</v>
      </c>
      <c r="U244" s="60" t="n">
        <f aca="false">Retainers!U76+Projects!U219+U235+U243+U236</f>
        <v>16354</v>
      </c>
      <c r="V244" s="60" t="n">
        <f aca="false">Retainers!V76+Projects!V219+V235+V243+V236</f>
        <v>16354</v>
      </c>
      <c r="W244" s="60" t="n">
        <f aca="false">Retainers!W76+Projects!W219+W235+W243+W236</f>
        <v>16354</v>
      </c>
      <c r="X244" s="60" t="n">
        <f aca="false">Retainers!X76+Projects!X219+X235+X243+X236</f>
        <v>16354</v>
      </c>
      <c r="Y244" s="60" t="n">
        <f aca="false">Retainers!Y76+Projects!Y219+Y235+Y243+Y236</f>
        <v>16354</v>
      </c>
      <c r="Z244" s="60" t="n">
        <f aca="false">Retainers!Z76+Projects!Z219+Z235+Z243+Z236</f>
        <v>16354</v>
      </c>
      <c r="AA244" s="60" t="n">
        <f aca="false">Retainers!AA76+Projects!AA219+AA235+AA243+AA236</f>
        <v>16354</v>
      </c>
      <c r="AB244" s="60" t="n">
        <f aca="false">Retainers!AB76+Projects!AB219+AB235+AB243+AB236</f>
        <v>16354</v>
      </c>
    </row>
    <row r="245" customFormat="false" ht="15" hidden="false" customHeight="false" outlineLevel="0" collapsed="false">
      <c r="A245" s="28" t="s">
        <v>714</v>
      </c>
      <c r="B245" s="58" t="s">
        <v>715</v>
      </c>
      <c r="C245" s="59" t="n">
        <f aca="false">SUM(E245:P245)</f>
        <v>0</v>
      </c>
      <c r="D245" s="59" t="n">
        <f aca="false">SUM(Q245:AB245)</f>
        <v>0</v>
      </c>
      <c r="E245" s="60" t="n">
        <f aca="false">E244*Client_Register!$F$17</f>
        <v>0</v>
      </c>
      <c r="F245" s="60" t="n">
        <f aca="false">F244*Client_Register!$F$17</f>
        <v>0</v>
      </c>
      <c r="G245" s="60" t="n">
        <f aca="false">G244*Client_Register!$F$17</f>
        <v>0</v>
      </c>
      <c r="H245" s="60" t="n">
        <f aca="false">H244*Client_Register!$F$17</f>
        <v>0</v>
      </c>
      <c r="I245" s="60" t="n">
        <f aca="false">I244*Client_Register!$F$17</f>
        <v>0</v>
      </c>
      <c r="J245" s="60" t="n">
        <f aca="false">J244*Client_Register!$F$17</f>
        <v>0</v>
      </c>
      <c r="K245" s="60" t="n">
        <f aca="false">K244*Client_Register!$F$17</f>
        <v>0</v>
      </c>
      <c r="L245" s="60" t="n">
        <f aca="false">L244*Client_Register!$F$17</f>
        <v>0</v>
      </c>
      <c r="M245" s="60" t="n">
        <f aca="false">M244*Client_Register!$F$17</f>
        <v>0</v>
      </c>
      <c r="N245" s="60" t="n">
        <f aca="false">N244*Client_Register!$F$17</f>
        <v>0</v>
      </c>
      <c r="O245" s="60" t="n">
        <f aca="false">O244*Client_Register!$F$17</f>
        <v>0</v>
      </c>
      <c r="P245" s="60" t="n">
        <f aca="false">P244*Client_Register!$F$17</f>
        <v>0</v>
      </c>
      <c r="Q245" s="60" t="n">
        <f aca="false">Q244*Client_Register!$F$17</f>
        <v>0</v>
      </c>
      <c r="R245" s="60" t="n">
        <f aca="false">R244*Client_Register!$F$17</f>
        <v>0</v>
      </c>
      <c r="S245" s="60" t="n">
        <f aca="false">S244*Client_Register!$F$17</f>
        <v>0</v>
      </c>
      <c r="T245" s="60" t="n">
        <f aca="false">T244*Client_Register!$F$17</f>
        <v>0</v>
      </c>
      <c r="U245" s="60" t="n">
        <f aca="false">U244*Client_Register!$F$17</f>
        <v>0</v>
      </c>
      <c r="V245" s="60" t="n">
        <f aca="false">V244*Client_Register!$F$17</f>
        <v>0</v>
      </c>
      <c r="W245" s="60" t="n">
        <f aca="false">W244*Client_Register!$F$17</f>
        <v>0</v>
      </c>
      <c r="X245" s="60" t="n">
        <f aca="false">X244*Client_Register!$F$17</f>
        <v>0</v>
      </c>
      <c r="Y245" s="60" t="n">
        <f aca="false">Y244*Client_Register!$F$17</f>
        <v>0</v>
      </c>
      <c r="Z245" s="60" t="n">
        <f aca="false">Z244*Client_Register!$F$17</f>
        <v>0</v>
      </c>
      <c r="AA245" s="60" t="n">
        <f aca="false">AA244*Client_Register!$F$17</f>
        <v>0</v>
      </c>
      <c r="AB245" s="60" t="n">
        <f aca="false">AB244*Client_Register!$F$17</f>
        <v>0</v>
      </c>
    </row>
    <row r="246" customFormat="false" ht="15" hidden="false" customHeight="false" outlineLevel="0" collapsed="false">
      <c r="A246" s="68" t="s">
        <v>716</v>
      </c>
      <c r="B246" s="69"/>
      <c r="C246" s="70" t="n">
        <f aca="false">SUM(E246:P246)</f>
        <v>256300</v>
      </c>
      <c r="D246" s="70" t="n">
        <f aca="false">SUM(Q246:AB246)</f>
        <v>210948</v>
      </c>
      <c r="E246" s="70" t="n">
        <f aca="false">E244+E245</f>
        <v>18500</v>
      </c>
      <c r="F246" s="70" t="n">
        <f aca="false">F244+F245</f>
        <v>18500</v>
      </c>
      <c r="G246" s="70" t="n">
        <f aca="false">G244+G245</f>
        <v>18500</v>
      </c>
      <c r="H246" s="70" t="n">
        <f aca="false">H244+H245</f>
        <v>18500</v>
      </c>
      <c r="I246" s="70" t="n">
        <f aca="false">I244+I245</f>
        <v>18500</v>
      </c>
      <c r="J246" s="70" t="n">
        <f aca="false">J244+J245</f>
        <v>18500</v>
      </c>
      <c r="K246" s="70" t="n">
        <f aca="false">K244+K245</f>
        <v>18500</v>
      </c>
      <c r="L246" s="70" t="n">
        <f aca="false">L244+L245</f>
        <v>18500</v>
      </c>
      <c r="M246" s="70" t="n">
        <f aca="false">M244+M245</f>
        <v>18500</v>
      </c>
      <c r="N246" s="70" t="n">
        <f aca="false">N244+N245</f>
        <v>33200</v>
      </c>
      <c r="O246" s="70" t="n">
        <f aca="false">O244+O245</f>
        <v>18500</v>
      </c>
      <c r="P246" s="70" t="n">
        <f aca="false">P244+P245</f>
        <v>38100</v>
      </c>
      <c r="Q246" s="70" t="n">
        <f aca="false">Q244+Q245</f>
        <v>31054</v>
      </c>
      <c r="R246" s="70" t="n">
        <f aca="false">R244+R245</f>
        <v>16354</v>
      </c>
      <c r="S246" s="70" t="n">
        <f aca="false">S244+S245</f>
        <v>16354</v>
      </c>
      <c r="T246" s="70" t="n">
        <f aca="false">T244+T245</f>
        <v>16354</v>
      </c>
      <c r="U246" s="70" t="n">
        <f aca="false">U244+U245</f>
        <v>16354</v>
      </c>
      <c r="V246" s="70" t="n">
        <f aca="false">V244+V245</f>
        <v>16354</v>
      </c>
      <c r="W246" s="70" t="n">
        <f aca="false">W244+W245</f>
        <v>16354</v>
      </c>
      <c r="X246" s="70" t="n">
        <f aca="false">X244+X245</f>
        <v>16354</v>
      </c>
      <c r="Y246" s="70" t="n">
        <f aca="false">Y244+Y245</f>
        <v>16354</v>
      </c>
      <c r="Z246" s="70" t="n">
        <f aca="false">Z244+Z245</f>
        <v>16354</v>
      </c>
      <c r="AA246" s="70" t="n">
        <f aca="false">AA244+AA245</f>
        <v>16354</v>
      </c>
      <c r="AB246" s="70" t="n">
        <f aca="false">AB244+AB245</f>
        <v>16354</v>
      </c>
    </row>
    <row r="247" customFormat="false" ht="15" hidden="false" customHeight="false" outlineLevel="0" collapsed="false">
      <c r="A247" s="28" t="s">
        <v>717</v>
      </c>
      <c r="B247" s="58" t="s">
        <v>718</v>
      </c>
      <c r="C247" s="59" t="n">
        <f aca="false">SUM(E247:P247)</f>
        <v>236299.2</v>
      </c>
      <c r="D247" s="59" t="n">
        <f aca="false">SUM(Q247:AB247)</f>
        <v>232694</v>
      </c>
      <c r="E247" s="60" t="n">
        <f aca="false">IF(E$5="A",Inputs_Actuals!E123,Client_Register!$T$17+E246-(E246*MIN(1,Client_Register!$J$17/30)+0*MIN(1,MAX(0,(Client_Register!$J$17-30)/30))+0*MIN(1,MAX(0,(Client_Register!$J$17-60)/30))))</f>
        <v>20421.71</v>
      </c>
      <c r="F247" s="60" t="n">
        <f aca="false">IF(F$5="A",Inputs_Actuals!F123,E248+F246-(F246*MIN(1,Client_Register!$J$17/30)+E246*MIN(1,MAX(0,(Client_Register!$J$17-30)/30))+0*MIN(1,MAX(0,(Client_Register!$J$17-60)/30))))</f>
        <v>15239.5</v>
      </c>
      <c r="G247" s="60" t="n">
        <f aca="false">IF(G$5="A",Inputs_Actuals!G123,F248+G246-(G246*MIN(1,Client_Register!$J$17/30)+F246*MIN(1,MAX(0,(Client_Register!$J$17-30)/30))+E246*MIN(1,MAX(0,(Client_Register!$J$17-60)/30))))</f>
        <v>21514.74</v>
      </c>
      <c r="H247" s="60" t="n">
        <f aca="false">IF(H$5="A",Inputs_Actuals!H123,G248+H246-(H246*MIN(1,Client_Register!$J$17/30)+G246*MIN(1,MAX(0,(Client_Register!$J$17-30)/30))+F246*MIN(1,MAX(0,(Client_Register!$J$17-60)/30))))</f>
        <v>16125.73</v>
      </c>
      <c r="I247" s="60" t="n">
        <f aca="false">IF(I$5="A",Inputs_Actuals!I123,H248+I246-(I246*MIN(1,Client_Register!$J$17/30)+H246*MIN(1,MAX(0,(Client_Register!$J$17-30)/30))+G246*MIN(1,MAX(0,(Client_Register!$J$17-60)/30))))</f>
        <v>17698.39</v>
      </c>
      <c r="J247" s="60" t="n">
        <f aca="false">IF(J$5="A",Inputs_Actuals!J123,I248+J246-(J246*MIN(1,Client_Register!$J$17/30)+I246*MIN(1,MAX(0,(Client_Register!$J$17-30)/30))+H246*MIN(1,MAX(0,(Client_Register!$J$17-60)/30))))</f>
        <v>22496.94</v>
      </c>
      <c r="K247" s="60" t="n">
        <f aca="false">IF(K$5="A",Inputs_Actuals!K123,J248+K246-(K246*MIN(1,Client_Register!$J$17/30)+J246*MIN(1,MAX(0,(Client_Register!$J$17-30)/30))+I246*MIN(1,MAX(0,(Client_Register!$J$17-60)/30))))</f>
        <v>15114.98</v>
      </c>
      <c r="L247" s="60" t="n">
        <f aca="false">IF(L$5="A",Inputs_Actuals!L123,K248+L246-(L246*MIN(1,Client_Register!$J$17/30)+K246*MIN(1,MAX(0,(Client_Register!$J$17-30)/30))+J246*MIN(1,MAX(0,(Client_Register!$J$17-60)/30))))</f>
        <v>18315.87</v>
      </c>
      <c r="M247" s="60" t="n">
        <f aca="false">IF(M$5="A",Inputs_Actuals!M123,L248+M246-(M246*MIN(1,Client_Register!$J$17/30)+L246*MIN(1,MAX(0,(Client_Register!$J$17-30)/30))+K246*MIN(1,MAX(0,(Client_Register!$J$17-60)/30))))</f>
        <v>19171.34</v>
      </c>
      <c r="N247" s="60" t="n">
        <f aca="false">IF(N$5="A",Inputs_Actuals!N123,M248+N246-(N246*MIN(1,Client_Register!$J$17/30)+M246*MIN(1,MAX(0,(Client_Register!$J$17-30)/30))+L246*MIN(1,MAX(0,(Client_Register!$J$17-60)/30))))</f>
        <v>18500</v>
      </c>
      <c r="O247" s="60" t="n">
        <f aca="false">IF(O$5="A",Inputs_Actuals!O123,N248+O246-(O246*MIN(1,Client_Register!$J$17/30)+N246*MIN(1,MAX(0,(Client_Register!$J$17-30)/30))+M246*MIN(1,MAX(0,(Client_Register!$J$17-60)/30))))</f>
        <v>33200</v>
      </c>
      <c r="P247" s="60" t="n">
        <f aca="false">IF(P$5="A",Inputs_Actuals!P123,O248+P246-(P246*MIN(1,Client_Register!$J$17/30)+O246*MIN(1,MAX(0,(Client_Register!$J$17-30)/30))+N246*MIN(1,MAX(0,(Client_Register!$J$17-60)/30))))</f>
        <v>18500</v>
      </c>
      <c r="Q247" s="60" t="n">
        <f aca="false">IF(Q$5="A",Inputs_Actuals!Q123,P248+Q246-(Q246*MIN(1,Client_Register!$J$17/30)+P246*MIN(1,MAX(0,(Client_Register!$J$17-30)/30))+O246*MIN(1,MAX(0,(Client_Register!$J$17-60)/30))))</f>
        <v>38100</v>
      </c>
      <c r="R247" s="60" t="n">
        <f aca="false">IF(R$5="A",Inputs_Actuals!R123,Q248+R246-(R246*MIN(1,Client_Register!$J$17/30)+Q246*MIN(1,MAX(0,(Client_Register!$J$17-30)/30))+P246*MIN(1,MAX(0,(Client_Register!$J$17-60)/30))))</f>
        <v>31054</v>
      </c>
      <c r="S247" s="60" t="n">
        <f aca="false">IF(S$5="A",Inputs_Actuals!S123,R248+S246-(S246*MIN(1,Client_Register!$J$17/30)+R246*MIN(1,MAX(0,(Client_Register!$J$17-30)/30))+Q246*MIN(1,MAX(0,(Client_Register!$J$17-60)/30))))</f>
        <v>16354</v>
      </c>
      <c r="T247" s="60" t="n">
        <f aca="false">IF(T$5="A",Inputs_Actuals!T123,S248+T246-(T246*MIN(1,Client_Register!$J$17/30)+S246*MIN(1,MAX(0,(Client_Register!$J$17-30)/30))+R246*MIN(1,MAX(0,(Client_Register!$J$17-60)/30))))</f>
        <v>16354</v>
      </c>
      <c r="U247" s="60" t="n">
        <f aca="false">IF(U$5="A",Inputs_Actuals!U123,T248+U246-(U246*MIN(1,Client_Register!$J$17/30)+T246*MIN(1,MAX(0,(Client_Register!$J$17-30)/30))+S246*MIN(1,MAX(0,(Client_Register!$J$17-60)/30))))</f>
        <v>16354</v>
      </c>
      <c r="V247" s="60" t="n">
        <f aca="false">IF(V$5="A",Inputs_Actuals!V123,U248+V246-(V246*MIN(1,Client_Register!$J$17/30)+U246*MIN(1,MAX(0,(Client_Register!$J$17-30)/30))+T246*MIN(1,MAX(0,(Client_Register!$J$17-60)/30))))</f>
        <v>16354</v>
      </c>
      <c r="W247" s="60" t="n">
        <f aca="false">IF(W$5="A",Inputs_Actuals!W123,V248+W246-(W246*MIN(1,Client_Register!$J$17/30)+V246*MIN(1,MAX(0,(Client_Register!$J$17-30)/30))+U246*MIN(1,MAX(0,(Client_Register!$J$17-60)/30))))</f>
        <v>16354</v>
      </c>
      <c r="X247" s="60" t="n">
        <f aca="false">IF(X$5="A",Inputs_Actuals!X123,W248+X246-(X246*MIN(1,Client_Register!$J$17/30)+W246*MIN(1,MAX(0,(Client_Register!$J$17-30)/30))+V246*MIN(1,MAX(0,(Client_Register!$J$17-60)/30))))</f>
        <v>16354</v>
      </c>
      <c r="Y247" s="60" t="n">
        <f aca="false">IF(Y$5="A",Inputs_Actuals!Y123,X248+Y246-(Y246*MIN(1,Client_Register!$J$17/30)+X246*MIN(1,MAX(0,(Client_Register!$J$17-30)/30))+W246*MIN(1,MAX(0,(Client_Register!$J$17-60)/30))))</f>
        <v>16354</v>
      </c>
      <c r="Z247" s="60" t="n">
        <f aca="false">IF(Z$5="A",Inputs_Actuals!Z123,Y248+Z246-(Z246*MIN(1,Client_Register!$J$17/30)+Y246*MIN(1,MAX(0,(Client_Register!$J$17-30)/30))+X246*MIN(1,MAX(0,(Client_Register!$J$17-60)/30))))</f>
        <v>16354</v>
      </c>
      <c r="AA247" s="60" t="n">
        <f aca="false">IF(AA$5="A",Inputs_Actuals!AA123,Z248+AA246-(AA246*MIN(1,Client_Register!$J$17/30)+Z246*MIN(1,MAX(0,(Client_Register!$J$17-30)/30))+Y246*MIN(1,MAX(0,(Client_Register!$J$17-60)/30))))</f>
        <v>16354</v>
      </c>
      <c r="AB247" s="60" t="n">
        <f aca="false">IF(AB$5="A",Inputs_Actuals!AB123,AA248+AB246-(AB246*MIN(1,Client_Register!$J$17/30)+AA246*MIN(1,MAX(0,(Client_Register!$J$17-30)/30))+Z246*MIN(1,MAX(0,(Client_Register!$J$17-60)/30))))</f>
        <v>16354</v>
      </c>
    </row>
    <row r="248" customFormat="false" ht="15" hidden="false" customHeight="false" outlineLevel="0" collapsed="false">
      <c r="A248" s="68" t="s">
        <v>719</v>
      </c>
      <c r="B248" s="69" t="s">
        <v>720</v>
      </c>
      <c r="C248" s="70" t="n">
        <f aca="false">P248</f>
        <v>38100</v>
      </c>
      <c r="D248" s="70" t="n">
        <f aca="false">AB248</f>
        <v>16354</v>
      </c>
      <c r="E248" s="74" t="n">
        <f aca="false">Client_Register!$T$17+E246-E247</f>
        <v>16177.49</v>
      </c>
      <c r="F248" s="70" t="n">
        <f aca="false">E248+F246-F247</f>
        <v>19437.99</v>
      </c>
      <c r="G248" s="70" t="n">
        <f aca="false">F248+G246-G247</f>
        <v>16423.25</v>
      </c>
      <c r="H248" s="70" t="n">
        <f aca="false">G248+H246-H247</f>
        <v>18797.52</v>
      </c>
      <c r="I248" s="70" t="n">
        <f aca="false">H248+I246-I247</f>
        <v>19599.13</v>
      </c>
      <c r="J248" s="70" t="n">
        <f aca="false">I248+J246-J247</f>
        <v>15602.19</v>
      </c>
      <c r="K248" s="70" t="n">
        <f aca="false">J248+K246-K247</f>
        <v>18987.21</v>
      </c>
      <c r="L248" s="70" t="n">
        <f aca="false">K248+L246-L247</f>
        <v>19171.34</v>
      </c>
      <c r="M248" s="70" t="n">
        <f aca="false">L248+M246-M247</f>
        <v>18500</v>
      </c>
      <c r="N248" s="70" t="n">
        <f aca="false">M248+N246-N247</f>
        <v>33200</v>
      </c>
      <c r="O248" s="70" t="n">
        <f aca="false">N248+O246-O247</f>
        <v>18500</v>
      </c>
      <c r="P248" s="70" t="n">
        <f aca="false">O248+P246-P247</f>
        <v>38100</v>
      </c>
      <c r="Q248" s="70" t="n">
        <f aca="false">P248+Q246-Q247</f>
        <v>31054</v>
      </c>
      <c r="R248" s="70" t="n">
        <f aca="false">Q248+R246-R247</f>
        <v>16354</v>
      </c>
      <c r="S248" s="70" t="n">
        <f aca="false">R248+S246-S247</f>
        <v>16354</v>
      </c>
      <c r="T248" s="70" t="n">
        <f aca="false">S248+T246-T247</f>
        <v>16354</v>
      </c>
      <c r="U248" s="70" t="n">
        <f aca="false">T248+U246-U247</f>
        <v>16354</v>
      </c>
      <c r="V248" s="70" t="n">
        <f aca="false">U248+V246-V247</f>
        <v>16354</v>
      </c>
      <c r="W248" s="70" t="n">
        <f aca="false">V248+W246-W247</f>
        <v>16354</v>
      </c>
      <c r="X248" s="70" t="n">
        <f aca="false">W248+X246-X247</f>
        <v>16354</v>
      </c>
      <c r="Y248" s="70" t="n">
        <f aca="false">X248+Y246-Y247</f>
        <v>16354</v>
      </c>
      <c r="Z248" s="70" t="n">
        <f aca="false">Y248+Z246-Z247</f>
        <v>16354</v>
      </c>
      <c r="AA248" s="70" t="n">
        <f aca="false">Z248+AA246-AA247</f>
        <v>16354</v>
      </c>
      <c r="AB248" s="70" t="n">
        <f aca="false">AA248+AB246-AB247</f>
        <v>16354</v>
      </c>
    </row>
    <row r="249" customFormat="false" ht="15" hidden="false" customHeight="false" outlineLevel="0" collapsed="false">
      <c r="A249" s="28" t="s">
        <v>721</v>
      </c>
      <c r="B249" s="58" t="s">
        <v>722</v>
      </c>
      <c r="C249" s="59" t="n">
        <f aca="false">P249</f>
        <v>7043.75</v>
      </c>
      <c r="D249" s="59" t="n">
        <f aca="false">AB249</f>
        <v>0</v>
      </c>
      <c r="E249" s="60" t="n">
        <f aca="false">Client_Register!$U$17+E237-(E244-E243)</f>
        <v>0</v>
      </c>
      <c r="F249" s="71" t="n">
        <f aca="false">E249+F237-(F244-F243)</f>
        <v>0</v>
      </c>
      <c r="G249" s="71" t="n">
        <f aca="false">F249+G237-(G244-G243)</f>
        <v>0</v>
      </c>
      <c r="H249" s="71" t="n">
        <f aca="false">G249+H237-(H244-H243)</f>
        <v>0</v>
      </c>
      <c r="I249" s="71" t="n">
        <f aca="false">H249+I237-(I244-I243)</f>
        <v>0</v>
      </c>
      <c r="J249" s="71" t="n">
        <f aca="false">I249+J237-(J244-J243)</f>
        <v>0</v>
      </c>
      <c r="K249" s="71" t="n">
        <f aca="false">J249+K237-(K244-K243)</f>
        <v>0</v>
      </c>
      <c r="L249" s="71" t="n">
        <f aca="false">K249+L237-(L244-L243)</f>
        <v>0</v>
      </c>
      <c r="M249" s="71" t="n">
        <f aca="false">L249+M237-(M244-M243)</f>
        <v>0</v>
      </c>
      <c r="N249" s="71" t="n">
        <f aca="false">M249+N237-(N244-N243)</f>
        <v>-7043.75</v>
      </c>
      <c r="O249" s="71" t="n">
        <f aca="false">N249+O237-(O244-O243)</f>
        <v>9800</v>
      </c>
      <c r="P249" s="71" t="n">
        <f aca="false">O249+P237-(P244-P243)</f>
        <v>7043.75</v>
      </c>
      <c r="Q249" s="71" t="n">
        <f aca="false">P249+Q237-(Q244-Q243)</f>
        <v>0</v>
      </c>
      <c r="R249" s="71" t="n">
        <f aca="false">Q249+R237-(R244-R243)</f>
        <v>0</v>
      </c>
      <c r="S249" s="71" t="n">
        <f aca="false">R249+S237-(S244-S243)</f>
        <v>0</v>
      </c>
      <c r="T249" s="71" t="n">
        <f aca="false">S249+T237-(T244-T243)</f>
        <v>0</v>
      </c>
      <c r="U249" s="71" t="n">
        <f aca="false">T249+U237-(U244-U243)</f>
        <v>0</v>
      </c>
      <c r="V249" s="71" t="n">
        <f aca="false">U249+V237-(V244-V243)</f>
        <v>0</v>
      </c>
      <c r="W249" s="71" t="n">
        <f aca="false">V249+W237-(W244-W243)</f>
        <v>0</v>
      </c>
      <c r="X249" s="71" t="n">
        <f aca="false">W249+X237-(X244-X243)</f>
        <v>0</v>
      </c>
      <c r="Y249" s="71" t="n">
        <f aca="false">X249+Y237-(Y244-Y243)</f>
        <v>0</v>
      </c>
      <c r="Z249" s="71" t="n">
        <f aca="false">Y249+Z237-(Z244-Z243)</f>
        <v>0</v>
      </c>
      <c r="AA249" s="71" t="n">
        <f aca="false">Z249+AA237-(AA244-AA243)</f>
        <v>0</v>
      </c>
      <c r="AB249" s="71" t="n">
        <f aca="false">AA249+AB237-(AB244-AB243)</f>
        <v>0</v>
      </c>
    </row>
    <row r="250" customFormat="false" ht="15" hidden="false" customHeight="false" outlineLevel="0" collapsed="false">
      <c r="A250" s="28" t="s">
        <v>723</v>
      </c>
      <c r="B250" s="58"/>
      <c r="C250" s="59" t="n">
        <f aca="false">P250</f>
        <v>38100</v>
      </c>
      <c r="D250" s="59" t="n">
        <f aca="false">AB250</f>
        <v>16354</v>
      </c>
      <c r="E250" s="71" t="n">
        <f aca="false">E248/1</f>
        <v>16177.49</v>
      </c>
      <c r="F250" s="71" t="n">
        <f aca="false">F248/1</f>
        <v>19437.99</v>
      </c>
      <c r="G250" s="71" t="n">
        <f aca="false">G248/1</f>
        <v>16423.25</v>
      </c>
      <c r="H250" s="71" t="n">
        <f aca="false">H248/1</f>
        <v>18797.52</v>
      </c>
      <c r="I250" s="71" t="n">
        <f aca="false">I248/1</f>
        <v>19599.13</v>
      </c>
      <c r="J250" s="71" t="n">
        <f aca="false">J248/1</f>
        <v>15602.19</v>
      </c>
      <c r="K250" s="71" t="n">
        <f aca="false">K248/1</f>
        <v>18987.21</v>
      </c>
      <c r="L250" s="71" t="n">
        <f aca="false">L248/1</f>
        <v>19171.34</v>
      </c>
      <c r="M250" s="71" t="n">
        <f aca="false">M248/1</f>
        <v>18500</v>
      </c>
      <c r="N250" s="71" t="n">
        <f aca="false">N248/1</f>
        <v>33200</v>
      </c>
      <c r="O250" s="71" t="n">
        <f aca="false">O248/1</f>
        <v>18500</v>
      </c>
      <c r="P250" s="71" t="n">
        <f aca="false">P248/1</f>
        <v>38100</v>
      </c>
      <c r="Q250" s="71" t="n">
        <f aca="false">Q248/1</f>
        <v>31054</v>
      </c>
      <c r="R250" s="71" t="n">
        <f aca="false">R248/1</f>
        <v>16354</v>
      </c>
      <c r="S250" s="71" t="n">
        <f aca="false">S248/1</f>
        <v>16354</v>
      </c>
      <c r="T250" s="71" t="n">
        <f aca="false">T248/1</f>
        <v>16354</v>
      </c>
      <c r="U250" s="71" t="n">
        <f aca="false">U248/1</f>
        <v>16354</v>
      </c>
      <c r="V250" s="71" t="n">
        <f aca="false">V248/1</f>
        <v>16354</v>
      </c>
      <c r="W250" s="71" t="n">
        <f aca="false">W248/1</f>
        <v>16354</v>
      </c>
      <c r="X250" s="71" t="n">
        <f aca="false">X248/1</f>
        <v>16354</v>
      </c>
      <c r="Y250" s="71" t="n">
        <f aca="false">Y248/1</f>
        <v>16354</v>
      </c>
      <c r="Z250" s="71" t="n">
        <f aca="false">Z248/1</f>
        <v>16354</v>
      </c>
      <c r="AA250" s="71" t="n">
        <f aca="false">AA248/1</f>
        <v>16354</v>
      </c>
      <c r="AB250" s="71" t="n">
        <f aca="false">AB248/1</f>
        <v>16354</v>
      </c>
    </row>
    <row r="251" customFormat="false" ht="15" hidden="false" customHeight="false" outlineLevel="0" collapsed="false">
      <c r="A251" s="28" t="s">
        <v>724</v>
      </c>
      <c r="B251" s="58"/>
      <c r="C251" s="66" t="n">
        <f aca="false">P251</f>
        <v>38.6939866369711</v>
      </c>
      <c r="D251" s="66" t="n">
        <f aca="false">AB251</f>
        <v>30.4</v>
      </c>
      <c r="E251" s="72" t="n">
        <f aca="false">IFERROR(E248/AVERAGE(E246:E246)*30.4,0)</f>
        <v>26.5835511351351</v>
      </c>
      <c r="F251" s="72" t="n">
        <f aca="false">IFERROR(F248/AVERAGE(E246:F246)*30.4,0)</f>
        <v>31.9413457297297</v>
      </c>
      <c r="G251" s="72" t="n">
        <f aca="false">IFERROR(G248/AVERAGE(E246:G246)*30.4,0)</f>
        <v>26.9873945945946</v>
      </c>
      <c r="H251" s="72" t="n">
        <f aca="false">IFERROR(H248/AVERAGE(F246:H246)*30.4,0)</f>
        <v>30.8888977297297</v>
      </c>
      <c r="I251" s="72" t="n">
        <f aca="false">IFERROR(I248/AVERAGE(G246:I246)*30.4,0)</f>
        <v>32.206137945946</v>
      </c>
      <c r="J251" s="72" t="n">
        <f aca="false">IFERROR(J248/AVERAGE(H246:J246)*30.4,0)</f>
        <v>25.6381932972973</v>
      </c>
      <c r="K251" s="72" t="n">
        <f aca="false">IFERROR(K248/AVERAGE(I246:K246)*30.4,0)</f>
        <v>31.2006045405405</v>
      </c>
      <c r="L251" s="72" t="n">
        <f aca="false">IFERROR(L248/AVERAGE(J246:L246)*30.4,0)</f>
        <v>31.5031749189189</v>
      </c>
      <c r="M251" s="72" t="n">
        <f aca="false">IFERROR(M248/AVERAGE(K246:M246)*30.4,0)</f>
        <v>30.4</v>
      </c>
      <c r="N251" s="72" t="n">
        <f aca="false">IFERROR(N248/AVERAGE(L246:N246)*30.4,0)</f>
        <v>43.1316239316239</v>
      </c>
      <c r="O251" s="72" t="n">
        <f aca="false">IFERROR(O248/AVERAGE(M246:O246)*30.4,0)</f>
        <v>24.034188034188</v>
      </c>
      <c r="P251" s="72" t="n">
        <f aca="false">IFERROR(P248/AVERAGE(N246:P246)*30.4,0)</f>
        <v>38.6939866369711</v>
      </c>
      <c r="Q251" s="72" t="n">
        <f aca="false">IFERROR(Q248/AVERAGE(O246:Q246)*30.4,0)</f>
        <v>32.3102744883291</v>
      </c>
      <c r="R251" s="72" t="n">
        <f aca="false">IFERROR(R248/AVERAGE(P246:R246)*30.4,0)</f>
        <v>17.4426346072882</v>
      </c>
      <c r="S251" s="72" t="n">
        <f aca="false">IFERROR(S248/AVERAGE(Q246:S246)*30.4,0)</f>
        <v>23.3914369059942</v>
      </c>
      <c r="T251" s="72" t="n">
        <f aca="false">IFERROR(T248/AVERAGE(R246:T246)*30.4,0)</f>
        <v>30.4</v>
      </c>
      <c r="U251" s="72" t="n">
        <f aca="false">IFERROR(U248/AVERAGE(S246:U246)*30.4,0)</f>
        <v>30.4</v>
      </c>
      <c r="V251" s="72" t="n">
        <f aca="false">IFERROR(V248/AVERAGE(T246:V246)*30.4,0)</f>
        <v>30.4</v>
      </c>
      <c r="W251" s="72" t="n">
        <f aca="false">IFERROR(W248/AVERAGE(U246:W246)*30.4,0)</f>
        <v>30.4</v>
      </c>
      <c r="X251" s="72" t="n">
        <f aca="false">IFERROR(X248/AVERAGE(V246:X246)*30.4,0)</f>
        <v>30.4</v>
      </c>
      <c r="Y251" s="72" t="n">
        <f aca="false">IFERROR(Y248/AVERAGE(W246:Y246)*30.4,0)</f>
        <v>30.4</v>
      </c>
      <c r="Z251" s="72" t="n">
        <f aca="false">IFERROR(Z248/AVERAGE(X246:Z246)*30.4,0)</f>
        <v>30.4</v>
      </c>
      <c r="AA251" s="72" t="n">
        <f aca="false">IFERROR(AA248/AVERAGE(Y246:AA246)*30.4,0)</f>
        <v>30.4</v>
      </c>
      <c r="AB251" s="72" t="n">
        <f aca="false">IFERROR(AB248/AVERAGE(Z246:AB246)*30.4,0)</f>
        <v>30.4</v>
      </c>
    </row>
    <row r="253" customFormat="false" ht="15" hidden="false" customHeight="false" outlineLevel="0" collapsed="false">
      <c r="A253" s="22" t="s">
        <v>744</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row>
    <row r="254" customFormat="false" ht="15" hidden="false" customHeight="false" outlineLevel="0" collapsed="false">
      <c r="A254" s="28" t="s">
        <v>331</v>
      </c>
      <c r="B254" s="58" t="s">
        <v>49</v>
      </c>
      <c r="C254" s="59" t="n">
        <f aca="false">SUM(E254:P254)</f>
        <v>192000</v>
      </c>
      <c r="D254" s="59" t="n">
        <f aca="false">SUM(Q254:AB254)</f>
        <v>188928</v>
      </c>
      <c r="E254" s="60" t="n">
        <f aca="false">Retainers!E80</f>
        <v>16000</v>
      </c>
      <c r="F254" s="60" t="n">
        <f aca="false">Retainers!F80</f>
        <v>16000</v>
      </c>
      <c r="G254" s="60" t="n">
        <f aca="false">Retainers!G80</f>
        <v>16000</v>
      </c>
      <c r="H254" s="60" t="n">
        <f aca="false">Retainers!H80</f>
        <v>16000</v>
      </c>
      <c r="I254" s="60" t="n">
        <f aca="false">Retainers!I80</f>
        <v>16000</v>
      </c>
      <c r="J254" s="60" t="n">
        <f aca="false">Retainers!J80</f>
        <v>16000</v>
      </c>
      <c r="K254" s="60" t="n">
        <f aca="false">Retainers!K80</f>
        <v>16000</v>
      </c>
      <c r="L254" s="60" t="n">
        <f aca="false">Retainers!L80</f>
        <v>16000</v>
      </c>
      <c r="M254" s="60" t="n">
        <f aca="false">Retainers!M80</f>
        <v>16000</v>
      </c>
      <c r="N254" s="60" t="n">
        <f aca="false">Retainers!N80</f>
        <v>16000</v>
      </c>
      <c r="O254" s="60" t="n">
        <f aca="false">Retainers!O80</f>
        <v>16000</v>
      </c>
      <c r="P254" s="60" t="n">
        <f aca="false">Retainers!P80</f>
        <v>16000</v>
      </c>
      <c r="Q254" s="60" t="n">
        <f aca="false">Retainers!Q80</f>
        <v>16000</v>
      </c>
      <c r="R254" s="60" t="n">
        <f aca="false">Retainers!R80</f>
        <v>16000</v>
      </c>
      <c r="S254" s="60" t="n">
        <f aca="false">Retainers!S80</f>
        <v>16000</v>
      </c>
      <c r="T254" s="60" t="n">
        <f aca="false">Retainers!T80</f>
        <v>16000</v>
      </c>
      <c r="U254" s="60" t="n">
        <f aca="false">Retainers!U80</f>
        <v>16000</v>
      </c>
      <c r="V254" s="60" t="n">
        <f aca="false">Retainers!V80</f>
        <v>16000</v>
      </c>
      <c r="W254" s="60" t="n">
        <f aca="false">Retainers!W80</f>
        <v>16000</v>
      </c>
      <c r="X254" s="60" t="n">
        <f aca="false">Retainers!X80</f>
        <v>16000</v>
      </c>
      <c r="Y254" s="60" t="n">
        <f aca="false">Retainers!Y80</f>
        <v>16000</v>
      </c>
      <c r="Z254" s="60" t="n">
        <f aca="false">Retainers!Z80</f>
        <v>14976</v>
      </c>
      <c r="AA254" s="60" t="n">
        <f aca="false">Retainers!AA80</f>
        <v>14976</v>
      </c>
      <c r="AB254" s="60" t="n">
        <f aca="false">Retainers!AB80</f>
        <v>14976</v>
      </c>
    </row>
    <row r="255" customFormat="false" ht="15" hidden="false" customHeight="false" outlineLevel="0" collapsed="false">
      <c r="A255" s="28" t="s">
        <v>700</v>
      </c>
      <c r="B255" s="58" t="s">
        <v>51</v>
      </c>
      <c r="C255" s="59" t="n">
        <f aca="false">SUM(E255:P255)</f>
        <v>0</v>
      </c>
      <c r="D255" s="59" t="n">
        <f aca="false">SUM(Q255:AB255)</f>
        <v>0</v>
      </c>
      <c r="E255" s="71" t="n">
        <f aca="false">0</f>
        <v>0</v>
      </c>
      <c r="F255" s="71" t="n">
        <f aca="false">0</f>
        <v>0</v>
      </c>
      <c r="G255" s="71" t="n">
        <f aca="false">0</f>
        <v>0</v>
      </c>
      <c r="H255" s="71" t="n">
        <f aca="false">0</f>
        <v>0</v>
      </c>
      <c r="I255" s="71" t="n">
        <f aca="false">0</f>
        <v>0</v>
      </c>
      <c r="J255" s="71" t="n">
        <f aca="false">0</f>
        <v>0</v>
      </c>
      <c r="K255" s="71" t="n">
        <f aca="false">0</f>
        <v>0</v>
      </c>
      <c r="L255" s="71" t="n">
        <f aca="false">0</f>
        <v>0</v>
      </c>
      <c r="M255" s="71" t="n">
        <f aca="false">0</f>
        <v>0</v>
      </c>
      <c r="N255" s="71" t="n">
        <f aca="false">0</f>
        <v>0</v>
      </c>
      <c r="O255" s="71" t="n">
        <f aca="false">0</f>
        <v>0</v>
      </c>
      <c r="P255" s="71" t="n">
        <f aca="false">0</f>
        <v>0</v>
      </c>
      <c r="Q255" s="71" t="n">
        <f aca="false">0</f>
        <v>0</v>
      </c>
      <c r="R255" s="71" t="n">
        <f aca="false">0</f>
        <v>0</v>
      </c>
      <c r="S255" s="71" t="n">
        <f aca="false">0</f>
        <v>0</v>
      </c>
      <c r="T255" s="71" t="n">
        <f aca="false">0</f>
        <v>0</v>
      </c>
      <c r="U255" s="71" t="n">
        <f aca="false">0</f>
        <v>0</v>
      </c>
      <c r="V255" s="71" t="n">
        <f aca="false">0</f>
        <v>0</v>
      </c>
      <c r="W255" s="71" t="n">
        <f aca="false">0</f>
        <v>0</v>
      </c>
      <c r="X255" s="71" t="n">
        <f aca="false">0</f>
        <v>0</v>
      </c>
      <c r="Y255" s="71" t="n">
        <f aca="false">0</f>
        <v>0</v>
      </c>
      <c r="Z255" s="71" t="n">
        <f aca="false">0</f>
        <v>0</v>
      </c>
      <c r="AA255" s="71" t="n">
        <f aca="false">0</f>
        <v>0</v>
      </c>
      <c r="AB255" s="71" t="n">
        <f aca="false">0</f>
        <v>0</v>
      </c>
    </row>
    <row r="256" customFormat="false" ht="15" hidden="false" customHeight="false" outlineLevel="0" collapsed="false">
      <c r="A256" s="28" t="s">
        <v>333</v>
      </c>
      <c r="B256" s="58" t="s">
        <v>53</v>
      </c>
      <c r="C256" s="59" t="n">
        <f aca="false">SUM(E256:P256)</f>
        <v>0</v>
      </c>
      <c r="D256" s="59" t="n">
        <f aca="false">SUM(Q256:AB256)</f>
        <v>0</v>
      </c>
      <c r="E256" s="71" t="n">
        <f aca="false">0</f>
        <v>0</v>
      </c>
      <c r="F256" s="71" t="n">
        <f aca="false">0</f>
        <v>0</v>
      </c>
      <c r="G256" s="71" t="n">
        <f aca="false">0</f>
        <v>0</v>
      </c>
      <c r="H256" s="71" t="n">
        <f aca="false">0</f>
        <v>0</v>
      </c>
      <c r="I256" s="71" t="n">
        <f aca="false">0</f>
        <v>0</v>
      </c>
      <c r="J256" s="71" t="n">
        <f aca="false">0</f>
        <v>0</v>
      </c>
      <c r="K256" s="71" t="n">
        <f aca="false">0</f>
        <v>0</v>
      </c>
      <c r="L256" s="71" t="n">
        <f aca="false">0</f>
        <v>0</v>
      </c>
      <c r="M256" s="71" t="n">
        <f aca="false">0</f>
        <v>0</v>
      </c>
      <c r="N256" s="71" t="n">
        <f aca="false">0</f>
        <v>0</v>
      </c>
      <c r="O256" s="71" t="n">
        <f aca="false">0</f>
        <v>0</v>
      </c>
      <c r="P256" s="71" t="n">
        <f aca="false">0</f>
        <v>0</v>
      </c>
      <c r="Q256" s="71" t="n">
        <f aca="false">0</f>
        <v>0</v>
      </c>
      <c r="R256" s="71" t="n">
        <f aca="false">0</f>
        <v>0</v>
      </c>
      <c r="S256" s="71" t="n">
        <f aca="false">0</f>
        <v>0</v>
      </c>
      <c r="T256" s="71" t="n">
        <f aca="false">0</f>
        <v>0</v>
      </c>
      <c r="U256" s="71" t="n">
        <f aca="false">0</f>
        <v>0</v>
      </c>
      <c r="V256" s="71" t="n">
        <f aca="false">0</f>
        <v>0</v>
      </c>
      <c r="W256" s="71" t="n">
        <f aca="false">0</f>
        <v>0</v>
      </c>
      <c r="X256" s="71" t="n">
        <f aca="false">0</f>
        <v>0</v>
      </c>
      <c r="Y256" s="71" t="n">
        <f aca="false">0</f>
        <v>0</v>
      </c>
      <c r="Z256" s="71" t="n">
        <f aca="false">0</f>
        <v>0</v>
      </c>
      <c r="AA256" s="71" t="n">
        <f aca="false">0</f>
        <v>0</v>
      </c>
      <c r="AB256" s="71" t="n">
        <f aca="false">0</f>
        <v>0</v>
      </c>
    </row>
    <row r="257" customFormat="false" ht="15" hidden="false" customHeight="false" outlineLevel="0" collapsed="false">
      <c r="A257" s="28" t="s">
        <v>334</v>
      </c>
      <c r="B257" s="58" t="s">
        <v>53</v>
      </c>
      <c r="C257" s="59" t="n">
        <f aca="false">SUM(E257:P257)</f>
        <v>48648.9</v>
      </c>
      <c r="D257" s="59" t="n">
        <f aca="false">SUM(Q257:AB257)</f>
        <v>46540</v>
      </c>
      <c r="E257" s="60" t="n">
        <f aca="false">TM_Media!E45</f>
        <v>3665.15</v>
      </c>
      <c r="F257" s="60" t="n">
        <f aca="false">TM_Media!F45</f>
        <v>3603.32</v>
      </c>
      <c r="G257" s="60" t="n">
        <f aca="false">TM_Media!G45</f>
        <v>3776.17</v>
      </c>
      <c r="H257" s="60" t="n">
        <f aca="false">TM_Media!H45</f>
        <v>4148.92</v>
      </c>
      <c r="I257" s="60" t="n">
        <f aca="false">TM_Media!I45</f>
        <v>3786.87</v>
      </c>
      <c r="J257" s="60" t="n">
        <f aca="false">TM_Media!J45</f>
        <v>4056.14</v>
      </c>
      <c r="K257" s="60" t="n">
        <f aca="false">TM_Media!K45</f>
        <v>3502.94</v>
      </c>
      <c r="L257" s="60" t="n">
        <f aca="false">TM_Media!L45</f>
        <v>3509.39</v>
      </c>
      <c r="M257" s="60" t="n">
        <f aca="false">TM_Media!M45</f>
        <v>4000</v>
      </c>
      <c r="N257" s="60" t="n">
        <f aca="false">TM_Media!N45</f>
        <v>4400</v>
      </c>
      <c r="O257" s="60" t="n">
        <f aca="false">TM_Media!O45</f>
        <v>5400</v>
      </c>
      <c r="P257" s="60" t="n">
        <f aca="false">TM_Media!P45</f>
        <v>4800</v>
      </c>
      <c r="Q257" s="60" t="n">
        <f aca="false">TM_Media!Q45</f>
        <v>3400</v>
      </c>
      <c r="R257" s="60" t="n">
        <f aca="false">TM_Media!R45</f>
        <v>3400</v>
      </c>
      <c r="S257" s="60" t="n">
        <f aca="false">TM_Media!S45</f>
        <v>3800</v>
      </c>
      <c r="T257" s="60" t="n">
        <f aca="false">TM_Media!T45</f>
        <v>4000</v>
      </c>
      <c r="U257" s="60" t="n">
        <f aca="false">TM_Media!U45</f>
        <v>4000</v>
      </c>
      <c r="V257" s="60" t="n">
        <f aca="false">TM_Media!V45</f>
        <v>3800</v>
      </c>
      <c r="W257" s="60" t="n">
        <f aca="false">TM_Media!W45</f>
        <v>3400</v>
      </c>
      <c r="X257" s="60" t="n">
        <f aca="false">TM_Media!X45</f>
        <v>3600</v>
      </c>
      <c r="Y257" s="60" t="n">
        <f aca="false">TM_Media!Y45</f>
        <v>4000</v>
      </c>
      <c r="Z257" s="60" t="n">
        <f aca="false">TM_Media!Z45</f>
        <v>3960</v>
      </c>
      <c r="AA257" s="60" t="n">
        <f aca="false">TM_Media!AA45</f>
        <v>4860</v>
      </c>
      <c r="AB257" s="60" t="n">
        <f aca="false">TM_Media!AB45</f>
        <v>4320</v>
      </c>
    </row>
    <row r="258" customFormat="false" ht="15" hidden="false" customHeight="false" outlineLevel="0" collapsed="false">
      <c r="A258" s="28" t="s">
        <v>701</v>
      </c>
      <c r="B258" s="58" t="s">
        <v>51</v>
      </c>
      <c r="C258" s="59" t="n">
        <f aca="false">SUM(E258:P258)</f>
        <v>0</v>
      </c>
      <c r="D258" s="59" t="n">
        <f aca="false">SUM(Q258:AB258)</f>
        <v>0</v>
      </c>
      <c r="E258" s="71" t="n">
        <f aca="false">0</f>
        <v>0</v>
      </c>
      <c r="F258" s="71" t="n">
        <f aca="false">0</f>
        <v>0</v>
      </c>
      <c r="G258" s="71" t="n">
        <f aca="false">0</f>
        <v>0</v>
      </c>
      <c r="H258" s="71" t="n">
        <f aca="false">0</f>
        <v>0</v>
      </c>
      <c r="I258" s="71" t="n">
        <f aca="false">0</f>
        <v>0</v>
      </c>
      <c r="J258" s="71" t="n">
        <f aca="false">0</f>
        <v>0</v>
      </c>
      <c r="K258" s="71" t="n">
        <f aca="false">0</f>
        <v>0</v>
      </c>
      <c r="L258" s="71" t="n">
        <f aca="false">0</f>
        <v>0</v>
      </c>
      <c r="M258" s="71" t="n">
        <f aca="false">0</f>
        <v>0</v>
      </c>
      <c r="N258" s="71" t="n">
        <f aca="false">0</f>
        <v>0</v>
      </c>
      <c r="O258" s="71" t="n">
        <f aca="false">0</f>
        <v>0</v>
      </c>
      <c r="P258" s="71" t="n">
        <f aca="false">0</f>
        <v>0</v>
      </c>
      <c r="Q258" s="71" t="n">
        <f aca="false">0</f>
        <v>0</v>
      </c>
      <c r="R258" s="71" t="n">
        <f aca="false">0</f>
        <v>0</v>
      </c>
      <c r="S258" s="71" t="n">
        <f aca="false">0</f>
        <v>0</v>
      </c>
      <c r="T258" s="71" t="n">
        <f aca="false">0</f>
        <v>0</v>
      </c>
      <c r="U258" s="71" t="n">
        <f aca="false">0</f>
        <v>0</v>
      </c>
      <c r="V258" s="71" t="n">
        <f aca="false">0</f>
        <v>0</v>
      </c>
      <c r="W258" s="71" t="n">
        <f aca="false">0</f>
        <v>0</v>
      </c>
      <c r="X258" s="71" t="n">
        <f aca="false">0</f>
        <v>0</v>
      </c>
      <c r="Y258" s="71" t="n">
        <f aca="false">0</f>
        <v>0</v>
      </c>
      <c r="Z258" s="71" t="n">
        <f aca="false">0</f>
        <v>0</v>
      </c>
      <c r="AA258" s="71" t="n">
        <f aca="false">0</f>
        <v>0</v>
      </c>
      <c r="AB258" s="71" t="n">
        <f aca="false">0</f>
        <v>0</v>
      </c>
    </row>
    <row r="259" customFormat="false" ht="15" hidden="false" customHeight="false" outlineLevel="0" collapsed="false">
      <c r="A259" s="68" t="s">
        <v>743</v>
      </c>
      <c r="B259" s="69"/>
      <c r="C259" s="70" t="n">
        <f aca="false">SUM(E259:P259)</f>
        <v>240648.9</v>
      </c>
      <c r="D259" s="70" t="n">
        <f aca="false">SUM(Q259:AB259)</f>
        <v>235468</v>
      </c>
      <c r="E259" s="70" t="n">
        <f aca="false">SUM(E254:E258)</f>
        <v>19665.15</v>
      </c>
      <c r="F259" s="70" t="n">
        <f aca="false">SUM(F254:F258)</f>
        <v>19603.32</v>
      </c>
      <c r="G259" s="70" t="n">
        <f aca="false">SUM(G254:G258)</f>
        <v>19776.17</v>
      </c>
      <c r="H259" s="70" t="n">
        <f aca="false">SUM(H254:H258)</f>
        <v>20148.92</v>
      </c>
      <c r="I259" s="70" t="n">
        <f aca="false">SUM(I254:I258)</f>
        <v>19786.87</v>
      </c>
      <c r="J259" s="70" t="n">
        <f aca="false">SUM(J254:J258)</f>
        <v>20056.14</v>
      </c>
      <c r="K259" s="70" t="n">
        <f aca="false">SUM(K254:K258)</f>
        <v>19502.94</v>
      </c>
      <c r="L259" s="70" t="n">
        <f aca="false">SUM(L254:L258)</f>
        <v>19509.39</v>
      </c>
      <c r="M259" s="70" t="n">
        <f aca="false">SUM(M254:M258)</f>
        <v>20000</v>
      </c>
      <c r="N259" s="70" t="n">
        <f aca="false">SUM(N254:N258)</f>
        <v>20400</v>
      </c>
      <c r="O259" s="70" t="n">
        <f aca="false">SUM(O254:O258)</f>
        <v>21400</v>
      </c>
      <c r="P259" s="70" t="n">
        <f aca="false">SUM(P254:P258)</f>
        <v>20800</v>
      </c>
      <c r="Q259" s="70" t="n">
        <f aca="false">SUM(Q254:Q258)</f>
        <v>19400</v>
      </c>
      <c r="R259" s="70" t="n">
        <f aca="false">SUM(R254:R258)</f>
        <v>19400</v>
      </c>
      <c r="S259" s="70" t="n">
        <f aca="false">SUM(S254:S258)</f>
        <v>19800</v>
      </c>
      <c r="T259" s="70" t="n">
        <f aca="false">SUM(T254:T258)</f>
        <v>20000</v>
      </c>
      <c r="U259" s="70" t="n">
        <f aca="false">SUM(U254:U258)</f>
        <v>20000</v>
      </c>
      <c r="V259" s="70" t="n">
        <f aca="false">SUM(V254:V258)</f>
        <v>19800</v>
      </c>
      <c r="W259" s="70" t="n">
        <f aca="false">SUM(W254:W258)</f>
        <v>19400</v>
      </c>
      <c r="X259" s="70" t="n">
        <f aca="false">SUM(X254:X258)</f>
        <v>19600</v>
      </c>
      <c r="Y259" s="70" t="n">
        <f aca="false">SUM(Y254:Y258)</f>
        <v>20000</v>
      </c>
      <c r="Z259" s="70" t="n">
        <f aca="false">SUM(Z254:Z258)</f>
        <v>18936</v>
      </c>
      <c r="AA259" s="70" t="n">
        <f aca="false">SUM(AA254:AA258)</f>
        <v>19836</v>
      </c>
      <c r="AB259" s="70" t="n">
        <f aca="false">SUM(AB254:AB258)</f>
        <v>19296</v>
      </c>
    </row>
    <row r="260" customFormat="false" ht="15" hidden="false" customHeight="false" outlineLevel="0" collapsed="false">
      <c r="A260" s="28" t="s">
        <v>703</v>
      </c>
      <c r="B260" s="58"/>
      <c r="C260" s="59" t="n">
        <f aca="false">SUM(E260:P260)</f>
        <v>240648.9</v>
      </c>
      <c r="D260" s="59" t="n">
        <f aca="false">SUM(Q260:AB260)</f>
        <v>235468</v>
      </c>
      <c r="E260" s="71" t="n">
        <f aca="false">E259/1</f>
        <v>19665.15</v>
      </c>
      <c r="F260" s="71" t="n">
        <f aca="false">F259/1</f>
        <v>19603.32</v>
      </c>
      <c r="G260" s="71" t="n">
        <f aca="false">G259/1</f>
        <v>19776.17</v>
      </c>
      <c r="H260" s="71" t="n">
        <f aca="false">H259/1</f>
        <v>20148.92</v>
      </c>
      <c r="I260" s="71" t="n">
        <f aca="false">I259/1</f>
        <v>19786.87</v>
      </c>
      <c r="J260" s="71" t="n">
        <f aca="false">J259/1</f>
        <v>20056.14</v>
      </c>
      <c r="K260" s="71" t="n">
        <f aca="false">K259/1</f>
        <v>19502.94</v>
      </c>
      <c r="L260" s="71" t="n">
        <f aca="false">L259/1</f>
        <v>19509.39</v>
      </c>
      <c r="M260" s="71" t="n">
        <f aca="false">M259/1</f>
        <v>20000</v>
      </c>
      <c r="N260" s="71" t="n">
        <f aca="false">N259/1</f>
        <v>20400</v>
      </c>
      <c r="O260" s="71" t="n">
        <f aca="false">O259/1</f>
        <v>21400</v>
      </c>
      <c r="P260" s="71" t="n">
        <f aca="false">P259/1</f>
        <v>20800</v>
      </c>
      <c r="Q260" s="71" t="n">
        <f aca="false">Q259/1</f>
        <v>19400</v>
      </c>
      <c r="R260" s="71" t="n">
        <f aca="false">R259/1</f>
        <v>19400</v>
      </c>
      <c r="S260" s="71" t="n">
        <f aca="false">S259/1</f>
        <v>19800</v>
      </c>
      <c r="T260" s="71" t="n">
        <f aca="false">T259/1</f>
        <v>20000</v>
      </c>
      <c r="U260" s="71" t="n">
        <f aca="false">U259/1</f>
        <v>20000</v>
      </c>
      <c r="V260" s="71" t="n">
        <f aca="false">V259/1</f>
        <v>19800</v>
      </c>
      <c r="W260" s="71" t="n">
        <f aca="false">W259/1</f>
        <v>19400</v>
      </c>
      <c r="X260" s="71" t="n">
        <f aca="false">X259/1</f>
        <v>19600</v>
      </c>
      <c r="Y260" s="71" t="n">
        <f aca="false">Y259/1</f>
        <v>20000</v>
      </c>
      <c r="Z260" s="71" t="n">
        <f aca="false">Z259/1</f>
        <v>18936</v>
      </c>
      <c r="AA260" s="71" t="n">
        <f aca="false">AA259/1</f>
        <v>19836</v>
      </c>
      <c r="AB260" s="71" t="n">
        <f aca="false">AB259/1</f>
        <v>19296</v>
      </c>
    </row>
    <row r="261" customFormat="false" ht="15" hidden="false" customHeight="false" outlineLevel="0" collapsed="false">
      <c r="A261" s="28" t="s">
        <v>704</v>
      </c>
      <c r="B261" s="58" t="s">
        <v>51</v>
      </c>
      <c r="C261" s="59" t="n">
        <f aca="false">SUM(E261:P261)</f>
        <v>0</v>
      </c>
      <c r="D261" s="59" t="n">
        <f aca="false">SUM(Q261:AB261)</f>
        <v>0</v>
      </c>
      <c r="E261" s="71" t="n">
        <f aca="false">0</f>
        <v>0</v>
      </c>
      <c r="F261" s="71" t="n">
        <f aca="false">0</f>
        <v>0</v>
      </c>
      <c r="G261" s="71" t="n">
        <f aca="false">0</f>
        <v>0</v>
      </c>
      <c r="H261" s="71" t="n">
        <f aca="false">0</f>
        <v>0</v>
      </c>
      <c r="I261" s="71" t="n">
        <f aca="false">0</f>
        <v>0</v>
      </c>
      <c r="J261" s="71" t="n">
        <f aca="false">0</f>
        <v>0</v>
      </c>
      <c r="K261" s="71" t="n">
        <f aca="false">0</f>
        <v>0</v>
      </c>
      <c r="L261" s="71" t="n">
        <f aca="false">0</f>
        <v>0</v>
      </c>
      <c r="M261" s="71" t="n">
        <f aca="false">0</f>
        <v>0</v>
      </c>
      <c r="N261" s="71" t="n">
        <f aca="false">0</f>
        <v>0</v>
      </c>
      <c r="O261" s="71" t="n">
        <f aca="false">0</f>
        <v>0</v>
      </c>
      <c r="P261" s="71" t="n">
        <f aca="false">0</f>
        <v>0</v>
      </c>
      <c r="Q261" s="71" t="n">
        <f aca="false">0</f>
        <v>0</v>
      </c>
      <c r="R261" s="71" t="n">
        <f aca="false">0</f>
        <v>0</v>
      </c>
      <c r="S261" s="71" t="n">
        <f aca="false">0</f>
        <v>0</v>
      </c>
      <c r="T261" s="71" t="n">
        <f aca="false">0</f>
        <v>0</v>
      </c>
      <c r="U261" s="71" t="n">
        <f aca="false">0</f>
        <v>0</v>
      </c>
      <c r="V261" s="71" t="n">
        <f aca="false">0</f>
        <v>0</v>
      </c>
      <c r="W261" s="71" t="n">
        <f aca="false">0</f>
        <v>0</v>
      </c>
      <c r="X261" s="71" t="n">
        <f aca="false">0</f>
        <v>0</v>
      </c>
      <c r="Y261" s="71" t="n">
        <f aca="false">0</f>
        <v>0</v>
      </c>
      <c r="Z261" s="71" t="n">
        <f aca="false">0</f>
        <v>0</v>
      </c>
      <c r="AA261" s="71" t="n">
        <f aca="false">0</f>
        <v>0</v>
      </c>
      <c r="AB261" s="71" t="n">
        <f aca="false">0</f>
        <v>0</v>
      </c>
    </row>
    <row r="262" customFormat="false" ht="15" hidden="false" customHeight="false" outlineLevel="0" collapsed="false">
      <c r="A262" s="68" t="s">
        <v>705</v>
      </c>
      <c r="B262" s="69" t="s">
        <v>706</v>
      </c>
      <c r="C262" s="70" t="n">
        <f aca="false">SUM(E262:P262)</f>
        <v>240648.9</v>
      </c>
      <c r="D262" s="70" t="n">
        <f aca="false">SUM(Q262:AB262)</f>
        <v>235468</v>
      </c>
      <c r="E262" s="70" t="n">
        <f aca="false">E260-E261</f>
        <v>19665.15</v>
      </c>
      <c r="F262" s="70" t="n">
        <f aca="false">F260-F261</f>
        <v>19603.32</v>
      </c>
      <c r="G262" s="70" t="n">
        <f aca="false">G260-G261</f>
        <v>19776.17</v>
      </c>
      <c r="H262" s="70" t="n">
        <f aca="false">H260-H261</f>
        <v>20148.92</v>
      </c>
      <c r="I262" s="70" t="n">
        <f aca="false">I260-I261</f>
        <v>19786.87</v>
      </c>
      <c r="J262" s="70" t="n">
        <f aca="false">J260-J261</f>
        <v>20056.14</v>
      </c>
      <c r="K262" s="70" t="n">
        <f aca="false">K260-K261</f>
        <v>19502.94</v>
      </c>
      <c r="L262" s="70" t="n">
        <f aca="false">L260-L261</f>
        <v>19509.39</v>
      </c>
      <c r="M262" s="70" t="n">
        <f aca="false">M260-M261</f>
        <v>20000</v>
      </c>
      <c r="N262" s="70" t="n">
        <f aca="false">N260-N261</f>
        <v>20400</v>
      </c>
      <c r="O262" s="70" t="n">
        <f aca="false">O260-O261</f>
        <v>21400</v>
      </c>
      <c r="P262" s="70" t="n">
        <f aca="false">P260-P261</f>
        <v>20800</v>
      </c>
      <c r="Q262" s="70" t="n">
        <f aca="false">Q260-Q261</f>
        <v>19400</v>
      </c>
      <c r="R262" s="70" t="n">
        <f aca="false">R260-R261</f>
        <v>19400</v>
      </c>
      <c r="S262" s="70" t="n">
        <f aca="false">S260-S261</f>
        <v>19800</v>
      </c>
      <c r="T262" s="70" t="n">
        <f aca="false">T260-T261</f>
        <v>20000</v>
      </c>
      <c r="U262" s="70" t="n">
        <f aca="false">U260-U261</f>
        <v>20000</v>
      </c>
      <c r="V262" s="70" t="n">
        <f aca="false">V260-V261</f>
        <v>19800</v>
      </c>
      <c r="W262" s="70" t="n">
        <f aca="false">W260-W261</f>
        <v>19400</v>
      </c>
      <c r="X262" s="70" t="n">
        <f aca="false">X260-X261</f>
        <v>19600</v>
      </c>
      <c r="Y262" s="70" t="n">
        <f aca="false">Y260-Y261</f>
        <v>20000</v>
      </c>
      <c r="Z262" s="70" t="n">
        <f aca="false">Z260-Z261</f>
        <v>18936</v>
      </c>
      <c r="AA262" s="70" t="n">
        <f aca="false">AA260-AA261</f>
        <v>19836</v>
      </c>
      <c r="AB262" s="70" t="n">
        <f aca="false">AB260-AB261</f>
        <v>19296</v>
      </c>
    </row>
    <row r="263" customFormat="false" ht="15" hidden="false" customHeight="false" outlineLevel="0" collapsed="false">
      <c r="A263" s="28" t="s">
        <v>707</v>
      </c>
      <c r="B263" s="58" t="s">
        <v>708</v>
      </c>
      <c r="C263" s="66" t="n">
        <f aca="false">SUM(E263:P263)</f>
        <v>2608.695</v>
      </c>
      <c r="D263" s="66" t="n">
        <f aca="false">SUM(Q263:AB263)</f>
        <v>2537.760375</v>
      </c>
      <c r="E263" s="67" t="n">
        <f aca="false">Retainers!E83+TM_Media!E46</f>
        <v>223.1</v>
      </c>
      <c r="F263" s="67" t="n">
        <f aca="false">Retainers!F83+TM_Media!F46</f>
        <v>217.8</v>
      </c>
      <c r="G263" s="67" t="n">
        <f aca="false">Retainers!G83+TM_Media!G46</f>
        <v>211.2</v>
      </c>
      <c r="H263" s="67" t="n">
        <f aca="false">Retainers!H83+TM_Media!H46</f>
        <v>208.9</v>
      </c>
      <c r="I263" s="67" t="n">
        <f aca="false">Retainers!I83+TM_Media!I46</f>
        <v>222</v>
      </c>
      <c r="J263" s="67" t="n">
        <f aca="false">Retainers!J83+TM_Media!J46</f>
        <v>223.5</v>
      </c>
      <c r="K263" s="67" t="n">
        <f aca="false">Retainers!K83+TM_Media!K46</f>
        <v>225.7</v>
      </c>
      <c r="L263" s="67" t="n">
        <f aca="false">Retainers!L83+TM_Media!L46</f>
        <v>213.5</v>
      </c>
      <c r="M263" s="67" t="n">
        <f aca="false">Retainers!M83+TM_Media!M46</f>
        <v>215.74875</v>
      </c>
      <c r="N263" s="67" t="n">
        <f aca="false">Retainers!N83+TM_Media!N46</f>
        <v>215.74875</v>
      </c>
      <c r="O263" s="67" t="n">
        <f aca="false">Retainers!O83+TM_Media!O46</f>
        <v>215.74875</v>
      </c>
      <c r="P263" s="67" t="n">
        <f aca="false">Retainers!P83+TM_Media!P46</f>
        <v>215.74875</v>
      </c>
      <c r="Q263" s="67" t="n">
        <f aca="false">Retainers!Q83+TM_Media!Q46</f>
        <v>215.74875</v>
      </c>
      <c r="R263" s="67" t="n">
        <f aca="false">Retainers!R83+TM_Media!R46</f>
        <v>215.74875</v>
      </c>
      <c r="S263" s="67" t="n">
        <f aca="false">Retainers!S83+TM_Media!S46</f>
        <v>215.74875</v>
      </c>
      <c r="T263" s="67" t="n">
        <f aca="false">Retainers!T83+TM_Media!T46</f>
        <v>215.74875</v>
      </c>
      <c r="U263" s="67" t="n">
        <f aca="false">Retainers!U83+TM_Media!U46</f>
        <v>215.74875</v>
      </c>
      <c r="V263" s="67" t="n">
        <f aca="false">Retainers!V83+TM_Media!V46</f>
        <v>215.74875</v>
      </c>
      <c r="W263" s="67" t="n">
        <f aca="false">Retainers!W83+TM_Media!W46</f>
        <v>215.74875</v>
      </c>
      <c r="X263" s="67" t="n">
        <f aca="false">Retainers!X83+TM_Media!X46</f>
        <v>215.74875</v>
      </c>
      <c r="Y263" s="67" t="n">
        <f aca="false">Retainers!Y83+TM_Media!Y46</f>
        <v>215.74875</v>
      </c>
      <c r="Z263" s="67" t="n">
        <f aca="false">Retainers!Z83+TM_Media!Z46</f>
        <v>198.673875</v>
      </c>
      <c r="AA263" s="67" t="n">
        <f aca="false">Retainers!AA83+TM_Media!AA46</f>
        <v>198.673875</v>
      </c>
      <c r="AB263" s="67" t="n">
        <f aca="false">Retainers!AB83+TM_Media!AB46</f>
        <v>198.673875</v>
      </c>
    </row>
    <row r="264" customFormat="false" ht="15" hidden="false" customHeight="false" outlineLevel="0" collapsed="false">
      <c r="A264" s="28" t="s">
        <v>709</v>
      </c>
      <c r="B264" s="58" t="s">
        <v>710</v>
      </c>
      <c r="C264" s="59" t="n">
        <f aca="false">SUM(E264:P264)</f>
        <v>122123.960460207</v>
      </c>
      <c r="D264" s="59" t="n">
        <f aca="false">SUM(Q264:AB264)</f>
        <v>124159.941800286</v>
      </c>
      <c r="E264" s="60" t="n">
        <f aca="false">Retainers!E83*Utilisation!E89+TM_Media!E46*Utilisation!E93</f>
        <v>10443.432121519</v>
      </c>
      <c r="F264" s="60" t="n">
        <f aca="false">Retainers!F83*Utilisation!F89+TM_Media!F46*Utilisation!F93</f>
        <v>10196.0736441887</v>
      </c>
      <c r="G264" s="60" t="n">
        <f aca="false">Retainers!G83*Utilisation!G89+TM_Media!G46*Utilisation!G93</f>
        <v>9888.04233279632</v>
      </c>
      <c r="H264" s="60" t="n">
        <f aca="false">Retainers!H83*Utilisation!H89+TM_Media!H46*Utilisation!H93</f>
        <v>9780.69808791715</v>
      </c>
      <c r="I264" s="60" t="n">
        <f aca="false">Retainers!I83*Utilisation!I89+TM_Media!I46*Utilisation!I93</f>
        <v>10392.0935696203</v>
      </c>
      <c r="J264" s="60" t="n">
        <f aca="false">Retainers!J83*Utilisation!J89+TM_Media!J46*Utilisation!J93</f>
        <v>10462.1006858458</v>
      </c>
      <c r="K264" s="60" t="n">
        <f aca="false">Retainers!K83*Utilisation!K89+TM_Media!K46*Utilisation!K93</f>
        <v>10564.7777896433</v>
      </c>
      <c r="L264" s="60" t="n">
        <f aca="false">Retainers!L83*Utilisation!L89+TM_Media!L46*Utilisation!L93</f>
        <v>9995.38657767549</v>
      </c>
      <c r="M264" s="60" t="n">
        <f aca="false">Retainers!M83*Utilisation!M89+TM_Media!M46*Utilisation!M93</f>
        <v>10100.3389127503</v>
      </c>
      <c r="N264" s="60" t="n">
        <f aca="false">Retainers!N83*Utilisation!N89+TM_Media!N46*Utilisation!N93</f>
        <v>10100.3389127503</v>
      </c>
      <c r="O264" s="60" t="n">
        <f aca="false">Retainers!O83*Utilisation!O89+TM_Media!O46*Utilisation!O93</f>
        <v>10100.3389127503</v>
      </c>
      <c r="P264" s="60" t="n">
        <f aca="false">Retainers!P83*Utilisation!P89+TM_Media!P46*Utilisation!P93</f>
        <v>10100.3389127503</v>
      </c>
      <c r="Q264" s="60" t="n">
        <f aca="false">Retainers!Q83*Utilisation!Q89+TM_Media!Q46*Utilisation!Q93</f>
        <v>10554.8541638241</v>
      </c>
      <c r="R264" s="60" t="n">
        <f aca="false">Retainers!R83*Utilisation!R89+TM_Media!R46*Utilisation!R93</f>
        <v>10554.8541638241</v>
      </c>
      <c r="S264" s="60" t="n">
        <f aca="false">Retainers!S83*Utilisation!S89+TM_Media!S46*Utilisation!S93</f>
        <v>10554.8541638241</v>
      </c>
      <c r="T264" s="60" t="n">
        <f aca="false">Retainers!T83*Utilisation!T89+TM_Media!T46*Utilisation!T93</f>
        <v>10554.8541638241</v>
      </c>
      <c r="U264" s="60" t="n">
        <f aca="false">Retainers!U83*Utilisation!U89+TM_Media!U46*Utilisation!U93</f>
        <v>10554.8541638241</v>
      </c>
      <c r="V264" s="60" t="n">
        <f aca="false">Retainers!V83*Utilisation!V89+TM_Media!V46*Utilisation!V93</f>
        <v>10554.8541638241</v>
      </c>
      <c r="W264" s="60" t="n">
        <f aca="false">Retainers!W83*Utilisation!W89+TM_Media!W46*Utilisation!W93</f>
        <v>10554.8541638241</v>
      </c>
      <c r="X264" s="60" t="n">
        <f aca="false">Retainers!X83*Utilisation!X89+TM_Media!X46*Utilisation!X93</f>
        <v>10554.8541638241</v>
      </c>
      <c r="Y264" s="60" t="n">
        <f aca="false">Retainers!Y83*Utilisation!Y89+TM_Media!Y46*Utilisation!Y93</f>
        <v>10554.8541638241</v>
      </c>
      <c r="Z264" s="60" t="n">
        <f aca="false">Retainers!Z83*Utilisation!Z89+TM_Media!Z46*Utilisation!Z93</f>
        <v>9722.08477528975</v>
      </c>
      <c r="AA264" s="60" t="n">
        <f aca="false">Retainers!AA83*Utilisation!AA89+TM_Media!AA46*Utilisation!AA93</f>
        <v>9722.08477528975</v>
      </c>
      <c r="AB264" s="60" t="n">
        <f aca="false">Retainers!AB83*Utilisation!AB89+TM_Media!AB46*Utilisation!AB93</f>
        <v>9722.08477528975</v>
      </c>
    </row>
    <row r="265" customFormat="false" ht="15" hidden="false" customHeight="false" outlineLevel="0" collapsed="false">
      <c r="A265" s="28" t="s">
        <v>711</v>
      </c>
      <c r="B265" s="58" t="s">
        <v>53</v>
      </c>
      <c r="C265" s="59" t="n">
        <f aca="false">SUM(E265:P265)</f>
        <v>486488.92</v>
      </c>
      <c r="D265" s="59" t="n">
        <f aca="false">SUM(Q265:AB265)</f>
        <v>465400</v>
      </c>
      <c r="E265" s="60" t="n">
        <f aca="false">TM_Media!E44</f>
        <v>36651.48</v>
      </c>
      <c r="F265" s="60" t="n">
        <f aca="false">TM_Media!F44</f>
        <v>36033.18</v>
      </c>
      <c r="G265" s="60" t="n">
        <f aca="false">TM_Media!G44</f>
        <v>37761.67</v>
      </c>
      <c r="H265" s="60" t="n">
        <f aca="false">TM_Media!H44</f>
        <v>41489.22</v>
      </c>
      <c r="I265" s="60" t="n">
        <f aca="false">TM_Media!I44</f>
        <v>37868.66</v>
      </c>
      <c r="J265" s="60" t="n">
        <f aca="false">TM_Media!J44</f>
        <v>40561.35</v>
      </c>
      <c r="K265" s="60" t="n">
        <f aca="false">TM_Media!K44</f>
        <v>35029.41</v>
      </c>
      <c r="L265" s="60" t="n">
        <f aca="false">TM_Media!L44</f>
        <v>35093.95</v>
      </c>
      <c r="M265" s="60" t="n">
        <f aca="false">TM_Media!M44</f>
        <v>40000</v>
      </c>
      <c r="N265" s="60" t="n">
        <f aca="false">TM_Media!N44</f>
        <v>44000</v>
      </c>
      <c r="O265" s="60" t="n">
        <f aca="false">TM_Media!O44</f>
        <v>54000</v>
      </c>
      <c r="P265" s="60" t="n">
        <f aca="false">TM_Media!P44</f>
        <v>48000</v>
      </c>
      <c r="Q265" s="60" t="n">
        <f aca="false">TM_Media!Q44</f>
        <v>34000</v>
      </c>
      <c r="R265" s="60" t="n">
        <f aca="false">TM_Media!R44</f>
        <v>34000</v>
      </c>
      <c r="S265" s="60" t="n">
        <f aca="false">TM_Media!S44</f>
        <v>38000</v>
      </c>
      <c r="T265" s="60" t="n">
        <f aca="false">TM_Media!T44</f>
        <v>40000</v>
      </c>
      <c r="U265" s="60" t="n">
        <f aca="false">TM_Media!U44</f>
        <v>40000</v>
      </c>
      <c r="V265" s="60" t="n">
        <f aca="false">TM_Media!V44</f>
        <v>38000</v>
      </c>
      <c r="W265" s="60" t="n">
        <f aca="false">TM_Media!W44</f>
        <v>34000</v>
      </c>
      <c r="X265" s="60" t="n">
        <f aca="false">TM_Media!X44</f>
        <v>36000</v>
      </c>
      <c r="Y265" s="60" t="n">
        <f aca="false">TM_Media!Y44</f>
        <v>40000</v>
      </c>
      <c r="Z265" s="60" t="n">
        <f aca="false">TM_Media!Z44</f>
        <v>39600</v>
      </c>
      <c r="AA265" s="60" t="n">
        <f aca="false">TM_Media!AA44</f>
        <v>48600</v>
      </c>
      <c r="AB265" s="60" t="n">
        <f aca="false">TM_Media!AB44</f>
        <v>43200</v>
      </c>
    </row>
    <row r="266" customFormat="false" ht="15" hidden="false" customHeight="false" outlineLevel="0" collapsed="false">
      <c r="A266" s="28" t="s">
        <v>712</v>
      </c>
      <c r="B266" s="58" t="s">
        <v>713</v>
      </c>
      <c r="C266" s="59" t="n">
        <f aca="false">SUM(E266:P266)</f>
        <v>727137.82</v>
      </c>
      <c r="D266" s="59" t="n">
        <f aca="false">SUM(Q266:AB266)</f>
        <v>700868</v>
      </c>
      <c r="E266" s="60" t="n">
        <f aca="false">Retainers!E86+E257+E265+E258</f>
        <v>88316.63</v>
      </c>
      <c r="F266" s="60" t="n">
        <f aca="false">Retainers!F86+F257+F265+F258</f>
        <v>39636.5</v>
      </c>
      <c r="G266" s="60" t="n">
        <f aca="false">Retainers!G86+G257+G265+G258</f>
        <v>41537.84</v>
      </c>
      <c r="H266" s="60" t="n">
        <f aca="false">Retainers!H86+H257+H265+H258</f>
        <v>93638.14</v>
      </c>
      <c r="I266" s="60" t="n">
        <f aca="false">Retainers!I86+I257+I265+I258</f>
        <v>41655.53</v>
      </c>
      <c r="J266" s="60" t="n">
        <f aca="false">Retainers!J86+J257+J265+J258</f>
        <v>44617.49</v>
      </c>
      <c r="K266" s="60" t="n">
        <f aca="false">Retainers!K86+K257+K265+K258</f>
        <v>86532.35</v>
      </c>
      <c r="L266" s="60" t="n">
        <f aca="false">Retainers!L86+L257+L265+L258</f>
        <v>38603.34</v>
      </c>
      <c r="M266" s="60" t="n">
        <f aca="false">Retainers!M86+M257+M265+M258</f>
        <v>44000</v>
      </c>
      <c r="N266" s="60" t="n">
        <f aca="false">Retainers!N86+N257+N265+N258</f>
        <v>96400</v>
      </c>
      <c r="O266" s="60" t="n">
        <f aca="false">Retainers!O86+O257+O265+O258</f>
        <v>59400</v>
      </c>
      <c r="P266" s="60" t="n">
        <f aca="false">Retainers!P86+P257+P265+P258</f>
        <v>52800</v>
      </c>
      <c r="Q266" s="60" t="n">
        <f aca="false">Retainers!Q86+Q257+Q265+Q258</f>
        <v>85400</v>
      </c>
      <c r="R266" s="60" t="n">
        <f aca="false">Retainers!R86+R257+R265+R258</f>
        <v>37400</v>
      </c>
      <c r="S266" s="60" t="n">
        <f aca="false">Retainers!S86+S257+S265+S258</f>
        <v>41800</v>
      </c>
      <c r="T266" s="60" t="n">
        <f aca="false">Retainers!T86+T257+T265+T258</f>
        <v>92000</v>
      </c>
      <c r="U266" s="60" t="n">
        <f aca="false">Retainers!U86+U257+U265+U258</f>
        <v>44000</v>
      </c>
      <c r="V266" s="60" t="n">
        <f aca="false">Retainers!V86+V257+V265+V258</f>
        <v>41800</v>
      </c>
      <c r="W266" s="60" t="n">
        <f aca="false">Retainers!W86+W257+W265+W258</f>
        <v>85400</v>
      </c>
      <c r="X266" s="60" t="n">
        <f aca="false">Retainers!X86+X257+X265+X258</f>
        <v>39600</v>
      </c>
      <c r="Y266" s="60" t="n">
        <f aca="false">Retainers!Y86+Y257+Y265+Y258</f>
        <v>44000</v>
      </c>
      <c r="Z266" s="60" t="n">
        <f aca="false">Retainers!Z86+Z257+Z265+Z258</f>
        <v>88488</v>
      </c>
      <c r="AA266" s="60" t="n">
        <f aca="false">Retainers!AA86+AA257+AA265+AA258</f>
        <v>53460</v>
      </c>
      <c r="AB266" s="60" t="n">
        <f aca="false">Retainers!AB86+AB257+AB265+AB258</f>
        <v>47520</v>
      </c>
    </row>
    <row r="267" customFormat="false" ht="15" hidden="false" customHeight="false" outlineLevel="0" collapsed="false">
      <c r="A267" s="28" t="s">
        <v>714</v>
      </c>
      <c r="B267" s="58" t="s">
        <v>715</v>
      </c>
      <c r="C267" s="59" t="n">
        <f aca="false">SUM(E267:P267)</f>
        <v>0</v>
      </c>
      <c r="D267" s="59" t="n">
        <f aca="false">SUM(Q267:AB267)</f>
        <v>0</v>
      </c>
      <c r="E267" s="60" t="n">
        <f aca="false">E266*Client_Register!$F$18</f>
        <v>0</v>
      </c>
      <c r="F267" s="60" t="n">
        <f aca="false">F266*Client_Register!$F$18</f>
        <v>0</v>
      </c>
      <c r="G267" s="60" t="n">
        <f aca="false">G266*Client_Register!$F$18</f>
        <v>0</v>
      </c>
      <c r="H267" s="60" t="n">
        <f aca="false">H266*Client_Register!$F$18</f>
        <v>0</v>
      </c>
      <c r="I267" s="60" t="n">
        <f aca="false">I266*Client_Register!$F$18</f>
        <v>0</v>
      </c>
      <c r="J267" s="60" t="n">
        <f aca="false">J266*Client_Register!$F$18</f>
        <v>0</v>
      </c>
      <c r="K267" s="60" t="n">
        <f aca="false">K266*Client_Register!$F$18</f>
        <v>0</v>
      </c>
      <c r="L267" s="60" t="n">
        <f aca="false">L266*Client_Register!$F$18</f>
        <v>0</v>
      </c>
      <c r="M267" s="60" t="n">
        <f aca="false">M266*Client_Register!$F$18</f>
        <v>0</v>
      </c>
      <c r="N267" s="60" t="n">
        <f aca="false">N266*Client_Register!$F$18</f>
        <v>0</v>
      </c>
      <c r="O267" s="60" t="n">
        <f aca="false">O266*Client_Register!$F$18</f>
        <v>0</v>
      </c>
      <c r="P267" s="60" t="n">
        <f aca="false">P266*Client_Register!$F$18</f>
        <v>0</v>
      </c>
      <c r="Q267" s="60" t="n">
        <f aca="false">Q266*Client_Register!$F$18</f>
        <v>0</v>
      </c>
      <c r="R267" s="60" t="n">
        <f aca="false">R266*Client_Register!$F$18</f>
        <v>0</v>
      </c>
      <c r="S267" s="60" t="n">
        <f aca="false">S266*Client_Register!$F$18</f>
        <v>0</v>
      </c>
      <c r="T267" s="60" t="n">
        <f aca="false">T266*Client_Register!$F$18</f>
        <v>0</v>
      </c>
      <c r="U267" s="60" t="n">
        <f aca="false">U266*Client_Register!$F$18</f>
        <v>0</v>
      </c>
      <c r="V267" s="60" t="n">
        <f aca="false">V266*Client_Register!$F$18</f>
        <v>0</v>
      </c>
      <c r="W267" s="60" t="n">
        <f aca="false">W266*Client_Register!$F$18</f>
        <v>0</v>
      </c>
      <c r="X267" s="60" t="n">
        <f aca="false">X266*Client_Register!$F$18</f>
        <v>0</v>
      </c>
      <c r="Y267" s="60" t="n">
        <f aca="false">Y266*Client_Register!$F$18</f>
        <v>0</v>
      </c>
      <c r="Z267" s="60" t="n">
        <f aca="false">Z266*Client_Register!$F$18</f>
        <v>0</v>
      </c>
      <c r="AA267" s="60" t="n">
        <f aca="false">AA266*Client_Register!$F$18</f>
        <v>0</v>
      </c>
      <c r="AB267" s="60" t="n">
        <f aca="false">AB266*Client_Register!$F$18</f>
        <v>0</v>
      </c>
    </row>
    <row r="268" customFormat="false" ht="15" hidden="false" customHeight="false" outlineLevel="0" collapsed="false">
      <c r="A268" s="68" t="s">
        <v>716</v>
      </c>
      <c r="B268" s="69"/>
      <c r="C268" s="70" t="n">
        <f aca="false">SUM(E268:P268)</f>
        <v>727137.82</v>
      </c>
      <c r="D268" s="70" t="n">
        <f aca="false">SUM(Q268:AB268)</f>
        <v>700868</v>
      </c>
      <c r="E268" s="70" t="n">
        <f aca="false">E266+E267</f>
        <v>88316.63</v>
      </c>
      <c r="F268" s="70" t="n">
        <f aca="false">F266+F267</f>
        <v>39636.5</v>
      </c>
      <c r="G268" s="70" t="n">
        <f aca="false">G266+G267</f>
        <v>41537.84</v>
      </c>
      <c r="H268" s="70" t="n">
        <f aca="false">H266+H267</f>
        <v>93638.14</v>
      </c>
      <c r="I268" s="70" t="n">
        <f aca="false">I266+I267</f>
        <v>41655.53</v>
      </c>
      <c r="J268" s="70" t="n">
        <f aca="false">J266+J267</f>
        <v>44617.49</v>
      </c>
      <c r="K268" s="70" t="n">
        <f aca="false">K266+K267</f>
        <v>86532.35</v>
      </c>
      <c r="L268" s="70" t="n">
        <f aca="false">L266+L267</f>
        <v>38603.34</v>
      </c>
      <c r="M268" s="70" t="n">
        <f aca="false">M266+M267</f>
        <v>44000</v>
      </c>
      <c r="N268" s="70" t="n">
        <f aca="false">N266+N267</f>
        <v>96400</v>
      </c>
      <c r="O268" s="70" t="n">
        <f aca="false">O266+O267</f>
        <v>59400</v>
      </c>
      <c r="P268" s="70" t="n">
        <f aca="false">P266+P267</f>
        <v>52800</v>
      </c>
      <c r="Q268" s="70" t="n">
        <f aca="false">Q266+Q267</f>
        <v>85400</v>
      </c>
      <c r="R268" s="70" t="n">
        <f aca="false">R266+R267</f>
        <v>37400</v>
      </c>
      <c r="S268" s="70" t="n">
        <f aca="false">S266+S267</f>
        <v>41800</v>
      </c>
      <c r="T268" s="70" t="n">
        <f aca="false">T266+T267</f>
        <v>92000</v>
      </c>
      <c r="U268" s="70" t="n">
        <f aca="false">U266+U267</f>
        <v>44000</v>
      </c>
      <c r="V268" s="70" t="n">
        <f aca="false">V266+V267</f>
        <v>41800</v>
      </c>
      <c r="W268" s="70" t="n">
        <f aca="false">W266+W267</f>
        <v>85400</v>
      </c>
      <c r="X268" s="70" t="n">
        <f aca="false">X266+X267</f>
        <v>39600</v>
      </c>
      <c r="Y268" s="70" t="n">
        <f aca="false">Y266+Y267</f>
        <v>44000</v>
      </c>
      <c r="Z268" s="70" t="n">
        <f aca="false">Z266+Z267</f>
        <v>88488</v>
      </c>
      <c r="AA268" s="70" t="n">
        <f aca="false">AA266+AA267</f>
        <v>53460</v>
      </c>
      <c r="AB268" s="70" t="n">
        <f aca="false">AB266+AB267</f>
        <v>47520</v>
      </c>
    </row>
    <row r="269" customFormat="false" ht="15" hidden="false" customHeight="false" outlineLevel="0" collapsed="false">
      <c r="A269" s="28" t="s">
        <v>717</v>
      </c>
      <c r="B269" s="58" t="s">
        <v>718</v>
      </c>
      <c r="C269" s="59" t="n">
        <f aca="false">SUM(E269:P269)</f>
        <v>721842.29</v>
      </c>
      <c r="D269" s="59" t="n">
        <f aca="false">SUM(Q269:AB269)</f>
        <v>706148</v>
      </c>
      <c r="E269" s="60" t="n">
        <f aca="false">IF(E$5="A",Inputs_Actuals!E124,Client_Register!$T$18+E268-(E268*MIN(1,Client_Register!$J$18/30)+0*MIN(1,MAX(0,(Client_Register!$J$18-30)/30))+0*MIN(1,MAX(0,(Client_Register!$J$18-60)/30))))</f>
        <v>48155.13</v>
      </c>
      <c r="F269" s="60" t="n">
        <f aca="false">IF(F$5="A",Inputs_Actuals!F124,E270+F268-(F268*MIN(1,Client_Register!$J$18/30)+E268*MIN(1,MAX(0,(Client_Register!$J$18-30)/30))+0*MIN(1,MAX(0,(Client_Register!$J$18-60)/30))))</f>
        <v>96637.13</v>
      </c>
      <c r="G269" s="60" t="n">
        <f aca="false">IF(G$5="A",Inputs_Actuals!G124,F270+G268-(G268*MIN(1,Client_Register!$J$18/30)+F268*MIN(1,MAX(0,(Client_Register!$J$18-30)/30))+E268*MIN(1,MAX(0,(Client_Register!$J$18-60)/30))))</f>
        <v>31469.7</v>
      </c>
      <c r="H269" s="60" t="n">
        <f aca="false">IF(H$5="A",Inputs_Actuals!H124,G270+H268-(H268*MIN(1,Client_Register!$J$18/30)+G268*MIN(1,MAX(0,(Client_Register!$J$18-30)/30))+F268*MIN(1,MAX(0,(Client_Register!$J$18-60)/30))))</f>
        <v>42108.42</v>
      </c>
      <c r="I269" s="60" t="n">
        <f aca="false">IF(I$5="A",Inputs_Actuals!I124,H270+I268-(I268*MIN(1,Client_Register!$J$18/30)+H268*MIN(1,MAX(0,(Client_Register!$J$18-30)/30))+G268*MIN(1,MAX(0,(Client_Register!$J$18-60)/30))))</f>
        <v>85084.95</v>
      </c>
      <c r="J269" s="60" t="n">
        <f aca="false">IF(J$5="A",Inputs_Actuals!J124,I270+J268-(J268*MIN(1,Client_Register!$J$18/30)+I268*MIN(1,MAX(0,(Client_Register!$J$18-30)/30))+H268*MIN(1,MAX(0,(Client_Register!$J$18-60)/30))))</f>
        <v>47633.69</v>
      </c>
      <c r="K269" s="60" t="n">
        <f aca="false">IF(K$5="A",Inputs_Actuals!K124,J270+K268-(K268*MIN(1,Client_Register!$J$18/30)+J268*MIN(1,MAX(0,(Client_Register!$J$18-30)/30))+I268*MIN(1,MAX(0,(Client_Register!$J$18-60)/30))))</f>
        <v>46522.02</v>
      </c>
      <c r="L269" s="60" t="n">
        <f aca="false">IF(L$5="A",Inputs_Actuals!L124,K270+L268-(L268*MIN(1,Client_Register!$J$18/30)+K268*MIN(1,MAX(0,(Client_Register!$J$18-30)/30))+J268*MIN(1,MAX(0,(Client_Register!$J$18-60)/30))))</f>
        <v>93369.04</v>
      </c>
      <c r="M269" s="60" t="n">
        <f aca="false">IF(M$5="A",Inputs_Actuals!M124,L270+M268-(M268*MIN(1,Client_Register!$J$18/30)+L268*MIN(1,MAX(0,(Client_Register!$J$18-30)/30))+K268*MIN(1,MAX(0,(Client_Register!$J$18-60)/30))))</f>
        <v>31062.21</v>
      </c>
      <c r="N269" s="60" t="n">
        <f aca="false">IF(N$5="A",Inputs_Actuals!N124,M270+N268-(N268*MIN(1,Client_Register!$J$18/30)+M268*MIN(1,MAX(0,(Client_Register!$J$18-30)/30))+L268*MIN(1,MAX(0,(Client_Register!$J$18-60)/30))))</f>
        <v>44000</v>
      </c>
      <c r="O269" s="60" t="n">
        <f aca="false">IF(O$5="A",Inputs_Actuals!O124,N270+O268-(O268*MIN(1,Client_Register!$J$18/30)+N268*MIN(1,MAX(0,(Client_Register!$J$18-30)/30))+M268*MIN(1,MAX(0,(Client_Register!$J$18-60)/30))))</f>
        <v>96400</v>
      </c>
      <c r="P269" s="60" t="n">
        <f aca="false">IF(P$5="A",Inputs_Actuals!P124,O270+P268-(P268*MIN(1,Client_Register!$J$18/30)+O268*MIN(1,MAX(0,(Client_Register!$J$18-30)/30))+N268*MIN(1,MAX(0,(Client_Register!$J$18-60)/30))))</f>
        <v>59400</v>
      </c>
      <c r="Q269" s="60" t="n">
        <f aca="false">IF(Q$5="A",Inputs_Actuals!Q124,P270+Q268-(Q268*MIN(1,Client_Register!$J$18/30)+P268*MIN(1,MAX(0,(Client_Register!$J$18-30)/30))+O268*MIN(1,MAX(0,(Client_Register!$J$18-60)/30))))</f>
        <v>52800</v>
      </c>
      <c r="R269" s="60" t="n">
        <f aca="false">IF(R$5="A",Inputs_Actuals!R124,Q270+R268-(R268*MIN(1,Client_Register!$J$18/30)+Q268*MIN(1,MAX(0,(Client_Register!$J$18-30)/30))+P268*MIN(1,MAX(0,(Client_Register!$J$18-60)/30))))</f>
        <v>85400</v>
      </c>
      <c r="S269" s="60" t="n">
        <f aca="false">IF(S$5="A",Inputs_Actuals!S124,R270+S268-(S268*MIN(1,Client_Register!$J$18/30)+R268*MIN(1,MAX(0,(Client_Register!$J$18-30)/30))+Q268*MIN(1,MAX(0,(Client_Register!$J$18-60)/30))))</f>
        <v>37400</v>
      </c>
      <c r="T269" s="60" t="n">
        <f aca="false">IF(T$5="A",Inputs_Actuals!T124,S270+T268-(T268*MIN(1,Client_Register!$J$18/30)+S268*MIN(1,MAX(0,(Client_Register!$J$18-30)/30))+R268*MIN(1,MAX(0,(Client_Register!$J$18-60)/30))))</f>
        <v>41800</v>
      </c>
      <c r="U269" s="60" t="n">
        <f aca="false">IF(U$5="A",Inputs_Actuals!U124,T270+U268-(U268*MIN(1,Client_Register!$J$18/30)+T268*MIN(1,MAX(0,(Client_Register!$J$18-30)/30))+S268*MIN(1,MAX(0,(Client_Register!$J$18-60)/30))))</f>
        <v>92000</v>
      </c>
      <c r="V269" s="60" t="n">
        <f aca="false">IF(V$5="A",Inputs_Actuals!V124,U270+V268-(V268*MIN(1,Client_Register!$J$18/30)+U268*MIN(1,MAX(0,(Client_Register!$J$18-30)/30))+T268*MIN(1,MAX(0,(Client_Register!$J$18-60)/30))))</f>
        <v>44000</v>
      </c>
      <c r="W269" s="60" t="n">
        <f aca="false">IF(W$5="A",Inputs_Actuals!W124,V270+W268-(W268*MIN(1,Client_Register!$J$18/30)+V268*MIN(1,MAX(0,(Client_Register!$J$18-30)/30))+U268*MIN(1,MAX(0,(Client_Register!$J$18-60)/30))))</f>
        <v>41800</v>
      </c>
      <c r="X269" s="60" t="n">
        <f aca="false">IF(X$5="A",Inputs_Actuals!X124,W270+X268-(X268*MIN(1,Client_Register!$J$18/30)+W268*MIN(1,MAX(0,(Client_Register!$J$18-30)/30))+V268*MIN(1,MAX(0,(Client_Register!$J$18-60)/30))))</f>
        <v>85400</v>
      </c>
      <c r="Y269" s="60" t="n">
        <f aca="false">IF(Y$5="A",Inputs_Actuals!Y124,X270+Y268-(Y268*MIN(1,Client_Register!$J$18/30)+X268*MIN(1,MAX(0,(Client_Register!$J$18-30)/30))+W268*MIN(1,MAX(0,(Client_Register!$J$18-60)/30))))</f>
        <v>39600</v>
      </c>
      <c r="Z269" s="60" t="n">
        <f aca="false">IF(Z$5="A",Inputs_Actuals!Z124,Y270+Z268-(Z268*MIN(1,Client_Register!$J$18/30)+Y268*MIN(1,MAX(0,(Client_Register!$J$18-30)/30))+X268*MIN(1,MAX(0,(Client_Register!$J$18-60)/30))))</f>
        <v>44000</v>
      </c>
      <c r="AA269" s="60" t="n">
        <f aca="false">IF(AA$5="A",Inputs_Actuals!AA124,Z270+AA268-(AA268*MIN(1,Client_Register!$J$18/30)+Z268*MIN(1,MAX(0,(Client_Register!$J$18-30)/30))+Y268*MIN(1,MAX(0,(Client_Register!$J$18-60)/30))))</f>
        <v>88488</v>
      </c>
      <c r="AB269" s="60" t="n">
        <f aca="false">IF(AB$5="A",Inputs_Actuals!AB124,AA270+AB268-(AB268*MIN(1,Client_Register!$J$18/30)+AA268*MIN(1,MAX(0,(Client_Register!$J$18-30)/30))+Z268*MIN(1,MAX(0,(Client_Register!$J$18-60)/30))))</f>
        <v>53460</v>
      </c>
    </row>
    <row r="270" customFormat="false" ht="15" hidden="false" customHeight="false" outlineLevel="0" collapsed="false">
      <c r="A270" s="68" t="s">
        <v>719</v>
      </c>
      <c r="B270" s="69" t="s">
        <v>720</v>
      </c>
      <c r="C270" s="70" t="n">
        <f aca="false">P270</f>
        <v>52800</v>
      </c>
      <c r="D270" s="70" t="n">
        <f aca="false">AB270</f>
        <v>47520</v>
      </c>
      <c r="E270" s="74" t="n">
        <f aca="false">Client_Register!$T$18+E268-E269</f>
        <v>87665.97</v>
      </c>
      <c r="F270" s="70" t="n">
        <f aca="false">E270+F268-F269</f>
        <v>30665.34</v>
      </c>
      <c r="G270" s="70" t="n">
        <f aca="false">F270+G268-G269</f>
        <v>40733.48</v>
      </c>
      <c r="H270" s="70" t="n">
        <f aca="false">G270+H268-H269</f>
        <v>92263.2</v>
      </c>
      <c r="I270" s="70" t="n">
        <f aca="false">H270+I268-I269</f>
        <v>48833.78</v>
      </c>
      <c r="J270" s="70" t="n">
        <f aca="false">I270+J268-J269</f>
        <v>45817.58</v>
      </c>
      <c r="K270" s="70" t="n">
        <f aca="false">J270+K268-K269</f>
        <v>85827.91</v>
      </c>
      <c r="L270" s="70" t="n">
        <f aca="false">K270+L268-L269</f>
        <v>31062.21</v>
      </c>
      <c r="M270" s="70" t="n">
        <f aca="false">L270+M268-M269</f>
        <v>44000</v>
      </c>
      <c r="N270" s="70" t="n">
        <f aca="false">M270+N268-N269</f>
        <v>96400</v>
      </c>
      <c r="O270" s="70" t="n">
        <f aca="false">N270+O268-O269</f>
        <v>59400</v>
      </c>
      <c r="P270" s="70" t="n">
        <f aca="false">O270+P268-P269</f>
        <v>52800</v>
      </c>
      <c r="Q270" s="70" t="n">
        <f aca="false">P270+Q268-Q269</f>
        <v>85400</v>
      </c>
      <c r="R270" s="70" t="n">
        <f aca="false">Q270+R268-R269</f>
        <v>37400</v>
      </c>
      <c r="S270" s="70" t="n">
        <f aca="false">R270+S268-S269</f>
        <v>41800</v>
      </c>
      <c r="T270" s="70" t="n">
        <f aca="false">S270+T268-T269</f>
        <v>92000</v>
      </c>
      <c r="U270" s="70" t="n">
        <f aca="false">T270+U268-U269</f>
        <v>44000</v>
      </c>
      <c r="V270" s="70" t="n">
        <f aca="false">U270+V268-V269</f>
        <v>41800</v>
      </c>
      <c r="W270" s="70" t="n">
        <f aca="false">V270+W268-W269</f>
        <v>85400</v>
      </c>
      <c r="X270" s="70" t="n">
        <f aca="false">W270+X268-X269</f>
        <v>39600</v>
      </c>
      <c r="Y270" s="70" t="n">
        <f aca="false">X270+Y268-Y269</f>
        <v>44000</v>
      </c>
      <c r="Z270" s="70" t="n">
        <f aca="false">Y270+Z268-Z269</f>
        <v>88488</v>
      </c>
      <c r="AA270" s="70" t="n">
        <f aca="false">Z270+AA268-AA269</f>
        <v>53460</v>
      </c>
      <c r="AB270" s="70" t="n">
        <f aca="false">AA270+AB268-AB269</f>
        <v>47520</v>
      </c>
    </row>
    <row r="271" customFormat="false" ht="15" hidden="false" customHeight="false" outlineLevel="0" collapsed="false">
      <c r="A271" s="28" t="s">
        <v>721</v>
      </c>
      <c r="B271" s="58" t="s">
        <v>722</v>
      </c>
      <c r="C271" s="59" t="n">
        <f aca="false">P271</f>
        <v>0</v>
      </c>
      <c r="D271" s="59" t="n">
        <f aca="false">AB271</f>
        <v>0</v>
      </c>
      <c r="E271" s="60" t="n">
        <f aca="false">Client_Register!$U$18+E259-(E266-E265)</f>
        <v>-32000</v>
      </c>
      <c r="F271" s="71" t="n">
        <f aca="false">E271+F259-(F266-F265)</f>
        <v>-16000</v>
      </c>
      <c r="G271" s="71" t="n">
        <f aca="false">F271+G259-(G266-G265)</f>
        <v>0</v>
      </c>
      <c r="H271" s="71" t="n">
        <f aca="false">G271+H259-(H266-H265)</f>
        <v>-32000</v>
      </c>
      <c r="I271" s="71" t="n">
        <f aca="false">H271+I259-(I266-I265)</f>
        <v>-16000</v>
      </c>
      <c r="J271" s="71" t="n">
        <f aca="false">I271+J259-(J266-J265)</f>
        <v>0</v>
      </c>
      <c r="K271" s="71" t="n">
        <f aca="false">J271+K259-(K266-K265)</f>
        <v>-32000</v>
      </c>
      <c r="L271" s="71" t="n">
        <f aca="false">K271+L259-(L266-L265)</f>
        <v>-16000</v>
      </c>
      <c r="M271" s="71" t="n">
        <f aca="false">L271+M259-(M266-M265)</f>
        <v>0</v>
      </c>
      <c r="N271" s="71" t="n">
        <f aca="false">M271+N259-(N266-N265)</f>
        <v>-32000</v>
      </c>
      <c r="O271" s="71" t="n">
        <f aca="false">N271+O259-(O266-O265)</f>
        <v>-16000</v>
      </c>
      <c r="P271" s="71" t="n">
        <f aca="false">O271+P259-(P266-P265)</f>
        <v>0</v>
      </c>
      <c r="Q271" s="71" t="n">
        <f aca="false">P271+Q259-(Q266-Q265)</f>
        <v>-32000</v>
      </c>
      <c r="R271" s="71" t="n">
        <f aca="false">Q271+R259-(R266-R265)</f>
        <v>-16000</v>
      </c>
      <c r="S271" s="71" t="n">
        <f aca="false">R271+S259-(S266-S265)</f>
        <v>0</v>
      </c>
      <c r="T271" s="71" t="n">
        <f aca="false">S271+T259-(T266-T265)</f>
        <v>-32000</v>
      </c>
      <c r="U271" s="71" t="n">
        <f aca="false">T271+U259-(U266-U265)</f>
        <v>-16000</v>
      </c>
      <c r="V271" s="71" t="n">
        <f aca="false">U271+V259-(V266-V265)</f>
        <v>0</v>
      </c>
      <c r="W271" s="71" t="n">
        <f aca="false">V271+W259-(W266-W265)</f>
        <v>-32000</v>
      </c>
      <c r="X271" s="71" t="n">
        <f aca="false">W271+X259-(X266-X265)</f>
        <v>-16000</v>
      </c>
      <c r="Y271" s="71" t="n">
        <f aca="false">X271+Y259-(Y266-Y265)</f>
        <v>0</v>
      </c>
      <c r="Z271" s="71" t="n">
        <f aca="false">Y271+Z259-(Z266-Z265)</f>
        <v>-29952</v>
      </c>
      <c r="AA271" s="71" t="n">
        <f aca="false">Z271+AA259-(AA266-AA265)</f>
        <v>-14976</v>
      </c>
      <c r="AB271" s="71" t="n">
        <f aca="false">AA271+AB259-(AB266-AB265)</f>
        <v>0</v>
      </c>
    </row>
    <row r="272" customFormat="false" ht="15" hidden="false" customHeight="false" outlineLevel="0" collapsed="false">
      <c r="A272" s="28" t="s">
        <v>723</v>
      </c>
      <c r="B272" s="58"/>
      <c r="C272" s="59" t="n">
        <f aca="false">P272</f>
        <v>52800</v>
      </c>
      <c r="D272" s="59" t="n">
        <f aca="false">AB272</f>
        <v>47520</v>
      </c>
      <c r="E272" s="71" t="n">
        <f aca="false">E270/1</f>
        <v>87665.97</v>
      </c>
      <c r="F272" s="71" t="n">
        <f aca="false">F270/1</f>
        <v>30665.34</v>
      </c>
      <c r="G272" s="71" t="n">
        <f aca="false">G270/1</f>
        <v>40733.48</v>
      </c>
      <c r="H272" s="71" t="n">
        <f aca="false">H270/1</f>
        <v>92263.2</v>
      </c>
      <c r="I272" s="71" t="n">
        <f aca="false">I270/1</f>
        <v>48833.78</v>
      </c>
      <c r="J272" s="71" t="n">
        <f aca="false">J270/1</f>
        <v>45817.58</v>
      </c>
      <c r="K272" s="71" t="n">
        <f aca="false">K270/1</f>
        <v>85827.91</v>
      </c>
      <c r="L272" s="71" t="n">
        <f aca="false">L270/1</f>
        <v>31062.21</v>
      </c>
      <c r="M272" s="71" t="n">
        <f aca="false">M270/1</f>
        <v>44000</v>
      </c>
      <c r="N272" s="71" t="n">
        <f aca="false">N270/1</f>
        <v>96400</v>
      </c>
      <c r="O272" s="71" t="n">
        <f aca="false">O270/1</f>
        <v>59400</v>
      </c>
      <c r="P272" s="71" t="n">
        <f aca="false">P270/1</f>
        <v>52800</v>
      </c>
      <c r="Q272" s="71" t="n">
        <f aca="false">Q270/1</f>
        <v>85400</v>
      </c>
      <c r="R272" s="71" t="n">
        <f aca="false">R270/1</f>
        <v>37400</v>
      </c>
      <c r="S272" s="71" t="n">
        <f aca="false">S270/1</f>
        <v>41800</v>
      </c>
      <c r="T272" s="71" t="n">
        <f aca="false">T270/1</f>
        <v>92000</v>
      </c>
      <c r="U272" s="71" t="n">
        <f aca="false">U270/1</f>
        <v>44000</v>
      </c>
      <c r="V272" s="71" t="n">
        <f aca="false">V270/1</f>
        <v>41800</v>
      </c>
      <c r="W272" s="71" t="n">
        <f aca="false">W270/1</f>
        <v>85400</v>
      </c>
      <c r="X272" s="71" t="n">
        <f aca="false">X270/1</f>
        <v>39600</v>
      </c>
      <c r="Y272" s="71" t="n">
        <f aca="false">Y270/1</f>
        <v>44000</v>
      </c>
      <c r="Z272" s="71" t="n">
        <f aca="false">Z270/1</f>
        <v>88488</v>
      </c>
      <c r="AA272" s="71" t="n">
        <f aca="false">AA270/1</f>
        <v>53460</v>
      </c>
      <c r="AB272" s="71" t="n">
        <f aca="false">AB270/1</f>
        <v>47520</v>
      </c>
    </row>
    <row r="273" customFormat="false" ht="15" hidden="false" customHeight="false" outlineLevel="0" collapsed="false">
      <c r="A273" s="28" t="s">
        <v>724</v>
      </c>
      <c r="B273" s="58"/>
      <c r="C273" s="66" t="n">
        <f aca="false">P273</f>
        <v>23.0841802492809</v>
      </c>
      <c r="D273" s="66" t="n">
        <f aca="false">AB273</f>
        <v>22.8736462093863</v>
      </c>
      <c r="E273" s="72" t="n">
        <f aca="false">IFERROR(E270/AVERAGE(E268:E268)*30.4,0)</f>
        <v>30.1760323961637</v>
      </c>
      <c r="F273" s="72" t="n">
        <f aca="false">IFERROR(F270/AVERAGE(E268:F268)*30.4,0)</f>
        <v>14.5713721266529</v>
      </c>
      <c r="G273" s="72" t="n">
        <f aca="false">IFERROR(G270/AVERAGE(E268:G268)*30.4,0)</f>
        <v>21.9179427434984</v>
      </c>
      <c r="H273" s="72" t="n">
        <f aca="false">IFERROR(H270/AVERAGE(F268:H268)*30.4,0)</f>
        <v>48.1338851779919</v>
      </c>
      <c r="I273" s="72" t="n">
        <f aca="false">IFERROR(I270/AVERAGE(G268:I268)*30.4,0)</f>
        <v>25.185786944872</v>
      </c>
      <c r="J273" s="72" t="n">
        <f aca="false">IFERROR(J270/AVERAGE(H268:J268)*30.4,0)</f>
        <v>23.2257037084303</v>
      </c>
      <c r="K273" s="72" t="n">
        <f aca="false">IFERROR(K270/AVERAGE(I268:K268)*30.4,0)</f>
        <v>45.2966559546153</v>
      </c>
      <c r="L273" s="72" t="n">
        <f aca="false">IFERROR(L270/AVERAGE(J268:L268)*30.4,0)</f>
        <v>16.688191361128</v>
      </c>
      <c r="M273" s="72" t="n">
        <f aca="false">IFERROR(M270/AVERAGE(K268:M268)*30.4,0)</f>
        <v>23.7253296450915</v>
      </c>
      <c r="N273" s="72" t="n">
        <f aca="false">IFERROR(N270/AVERAGE(L268:N268)*30.4,0)</f>
        <v>49.1146142859681</v>
      </c>
      <c r="O273" s="72" t="n">
        <f aca="false">IFERROR(O270/AVERAGE(M268:O268)*30.4,0)</f>
        <v>27.1135135135135</v>
      </c>
      <c r="P273" s="72" t="n">
        <f aca="false">IFERROR(P270/AVERAGE(N268:P268)*30.4,0)</f>
        <v>23.0841802492809</v>
      </c>
      <c r="Q273" s="72" t="n">
        <f aca="false">IFERROR(Q270/AVERAGE(O268:Q268)*30.4,0)</f>
        <v>39.4153846153846</v>
      </c>
      <c r="R273" s="72" t="n">
        <f aca="false">IFERROR(R270/AVERAGE(P268:R268)*30.4,0)</f>
        <v>19.424145785877</v>
      </c>
      <c r="S273" s="72" t="n">
        <f aca="false">IFERROR(S270/AVERAGE(Q268:S268)*30.4,0)</f>
        <v>23.1601458080194</v>
      </c>
      <c r="T273" s="72" t="n">
        <f aca="false">IFERROR(T270/AVERAGE(R268:T268)*30.4,0)</f>
        <v>49.0093457943925</v>
      </c>
      <c r="U273" s="72" t="n">
        <f aca="false">IFERROR(U270/AVERAGE(S268:U268)*30.4,0)</f>
        <v>22.5691788526434</v>
      </c>
      <c r="V273" s="72" t="n">
        <f aca="false">IFERROR(V270/AVERAGE(T268:V268)*30.4,0)</f>
        <v>21.4407199100113</v>
      </c>
      <c r="W273" s="72" t="n">
        <f aca="false">IFERROR(W270/AVERAGE(U268:W268)*30.4,0)</f>
        <v>45.4934579439252</v>
      </c>
      <c r="X273" s="72" t="n">
        <f aca="false">IFERROR(X270/AVERAGE(V268:X268)*30.4,0)</f>
        <v>21.6517985611511</v>
      </c>
      <c r="Y273" s="72" t="n">
        <f aca="false">IFERROR(Y270/AVERAGE(W268:Y268)*30.4,0)</f>
        <v>23.7443786982249</v>
      </c>
      <c r="Z273" s="72" t="n">
        <f aca="false">IFERROR(Z270/AVERAGE(X268:Z268)*30.4,0)</f>
        <v>46.8952256984799</v>
      </c>
      <c r="AA273" s="72" t="n">
        <f aca="false">IFERROR(AA270/AVERAGE(Y268:AA268)*30.4,0)</f>
        <v>26.2199754770151</v>
      </c>
      <c r="AB273" s="72" t="n">
        <f aca="false">IFERROR(AB270/AVERAGE(Z268:AB268)*30.4,0)</f>
        <v>22.8736462093863</v>
      </c>
    </row>
    <row r="275" customFormat="false" ht="15" hidden="false" customHeight="false" outlineLevel="0" collapsed="false">
      <c r="A275" s="22" t="s">
        <v>745</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row>
    <row r="276" customFormat="false" ht="15" hidden="false" customHeight="false" outlineLevel="0" collapsed="false">
      <c r="A276" s="28" t="s">
        <v>331</v>
      </c>
      <c r="B276" s="58" t="s">
        <v>49</v>
      </c>
      <c r="C276" s="59" t="n">
        <f aca="false">SUM(E276:P276)</f>
        <v>168000</v>
      </c>
      <c r="D276" s="59" t="n">
        <f aca="false">SUM(Q276:AB276)</f>
        <v>151760</v>
      </c>
      <c r="E276" s="60" t="n">
        <f aca="false">Retainers!E90</f>
        <v>14000</v>
      </c>
      <c r="F276" s="60" t="n">
        <f aca="false">Retainers!F90</f>
        <v>14000</v>
      </c>
      <c r="G276" s="60" t="n">
        <f aca="false">Retainers!G90</f>
        <v>14000</v>
      </c>
      <c r="H276" s="60" t="n">
        <f aca="false">Retainers!H90</f>
        <v>14000</v>
      </c>
      <c r="I276" s="60" t="n">
        <f aca="false">Retainers!I90</f>
        <v>14000</v>
      </c>
      <c r="J276" s="60" t="n">
        <f aca="false">Retainers!J90</f>
        <v>14000</v>
      </c>
      <c r="K276" s="60" t="n">
        <f aca="false">Retainers!K90</f>
        <v>14000</v>
      </c>
      <c r="L276" s="60" t="n">
        <f aca="false">Retainers!L90</f>
        <v>14000</v>
      </c>
      <c r="M276" s="60" t="n">
        <f aca="false">Retainers!M90</f>
        <v>14000</v>
      </c>
      <c r="N276" s="60" t="n">
        <f aca="false">Retainers!N90</f>
        <v>14000</v>
      </c>
      <c r="O276" s="60" t="n">
        <f aca="false">Retainers!O90</f>
        <v>14000</v>
      </c>
      <c r="P276" s="60" t="n">
        <f aca="false">Retainers!P90</f>
        <v>14000</v>
      </c>
      <c r="Q276" s="60" t="n">
        <f aca="false">Retainers!Q90</f>
        <v>14000</v>
      </c>
      <c r="R276" s="60" t="n">
        <f aca="false">Retainers!R90</f>
        <v>14000</v>
      </c>
      <c r="S276" s="60" t="n">
        <f aca="false">Retainers!S90</f>
        <v>12376</v>
      </c>
      <c r="T276" s="60" t="n">
        <f aca="false">Retainers!T90</f>
        <v>12376</v>
      </c>
      <c r="U276" s="60" t="n">
        <f aca="false">Retainers!U90</f>
        <v>12376</v>
      </c>
      <c r="V276" s="60" t="n">
        <f aca="false">Retainers!V90</f>
        <v>12376</v>
      </c>
      <c r="W276" s="60" t="n">
        <f aca="false">Retainers!W90</f>
        <v>12376</v>
      </c>
      <c r="X276" s="60" t="n">
        <f aca="false">Retainers!X90</f>
        <v>12376</v>
      </c>
      <c r="Y276" s="60" t="n">
        <f aca="false">Retainers!Y90</f>
        <v>12376</v>
      </c>
      <c r="Z276" s="60" t="n">
        <f aca="false">Retainers!Z90</f>
        <v>12376</v>
      </c>
      <c r="AA276" s="60" t="n">
        <f aca="false">Retainers!AA90</f>
        <v>12376</v>
      </c>
      <c r="AB276" s="60" t="n">
        <f aca="false">Retainers!AB90</f>
        <v>12376</v>
      </c>
    </row>
    <row r="277" customFormat="false" ht="15" hidden="false" customHeight="false" outlineLevel="0" collapsed="false">
      <c r="A277" s="28" t="s">
        <v>700</v>
      </c>
      <c r="B277" s="58" t="s">
        <v>51</v>
      </c>
      <c r="C277" s="59" t="n">
        <f aca="false">SUM(E277:P277)</f>
        <v>0</v>
      </c>
      <c r="D277" s="59" t="n">
        <f aca="false">SUM(Q277:AB277)</f>
        <v>0</v>
      </c>
      <c r="E277" s="71" t="n">
        <f aca="false">0</f>
        <v>0</v>
      </c>
      <c r="F277" s="71" t="n">
        <f aca="false">0</f>
        <v>0</v>
      </c>
      <c r="G277" s="71" t="n">
        <f aca="false">0</f>
        <v>0</v>
      </c>
      <c r="H277" s="71" t="n">
        <f aca="false">0</f>
        <v>0</v>
      </c>
      <c r="I277" s="71" t="n">
        <f aca="false">0</f>
        <v>0</v>
      </c>
      <c r="J277" s="71" t="n">
        <f aca="false">0</f>
        <v>0</v>
      </c>
      <c r="K277" s="71" t="n">
        <f aca="false">0</f>
        <v>0</v>
      </c>
      <c r="L277" s="71" t="n">
        <f aca="false">0</f>
        <v>0</v>
      </c>
      <c r="M277" s="71" t="n">
        <f aca="false">0</f>
        <v>0</v>
      </c>
      <c r="N277" s="71" t="n">
        <f aca="false">0</f>
        <v>0</v>
      </c>
      <c r="O277" s="71" t="n">
        <f aca="false">0</f>
        <v>0</v>
      </c>
      <c r="P277" s="71" t="n">
        <f aca="false">0</f>
        <v>0</v>
      </c>
      <c r="Q277" s="71" t="n">
        <f aca="false">0</f>
        <v>0</v>
      </c>
      <c r="R277" s="71" t="n">
        <f aca="false">0</f>
        <v>0</v>
      </c>
      <c r="S277" s="71" t="n">
        <f aca="false">0</f>
        <v>0</v>
      </c>
      <c r="T277" s="71" t="n">
        <f aca="false">0</f>
        <v>0</v>
      </c>
      <c r="U277" s="71" t="n">
        <f aca="false">0</f>
        <v>0</v>
      </c>
      <c r="V277" s="71" t="n">
        <f aca="false">0</f>
        <v>0</v>
      </c>
      <c r="W277" s="71" t="n">
        <f aca="false">0</f>
        <v>0</v>
      </c>
      <c r="X277" s="71" t="n">
        <f aca="false">0</f>
        <v>0</v>
      </c>
      <c r="Y277" s="71" t="n">
        <f aca="false">0</f>
        <v>0</v>
      </c>
      <c r="Z277" s="71" t="n">
        <f aca="false">0</f>
        <v>0</v>
      </c>
      <c r="AA277" s="71" t="n">
        <f aca="false">0</f>
        <v>0</v>
      </c>
      <c r="AB277" s="71" t="n">
        <f aca="false">0</f>
        <v>0</v>
      </c>
    </row>
    <row r="278" customFormat="false" ht="15" hidden="false" customHeight="false" outlineLevel="0" collapsed="false">
      <c r="A278" s="28" t="s">
        <v>333</v>
      </c>
      <c r="B278" s="58" t="s">
        <v>53</v>
      </c>
      <c r="C278" s="59" t="n">
        <f aca="false">SUM(E278:P278)</f>
        <v>0</v>
      </c>
      <c r="D278" s="59" t="n">
        <f aca="false">SUM(Q278:AB278)</f>
        <v>0</v>
      </c>
      <c r="E278" s="71" t="n">
        <f aca="false">0</f>
        <v>0</v>
      </c>
      <c r="F278" s="71" t="n">
        <f aca="false">0</f>
        <v>0</v>
      </c>
      <c r="G278" s="71" t="n">
        <f aca="false">0</f>
        <v>0</v>
      </c>
      <c r="H278" s="71" t="n">
        <f aca="false">0</f>
        <v>0</v>
      </c>
      <c r="I278" s="71" t="n">
        <f aca="false">0</f>
        <v>0</v>
      </c>
      <c r="J278" s="71" t="n">
        <f aca="false">0</f>
        <v>0</v>
      </c>
      <c r="K278" s="71" t="n">
        <f aca="false">0</f>
        <v>0</v>
      </c>
      <c r="L278" s="71" t="n">
        <f aca="false">0</f>
        <v>0</v>
      </c>
      <c r="M278" s="71" t="n">
        <f aca="false">0</f>
        <v>0</v>
      </c>
      <c r="N278" s="71" t="n">
        <f aca="false">0</f>
        <v>0</v>
      </c>
      <c r="O278" s="71" t="n">
        <f aca="false">0</f>
        <v>0</v>
      </c>
      <c r="P278" s="71" t="n">
        <f aca="false">0</f>
        <v>0</v>
      </c>
      <c r="Q278" s="71" t="n">
        <f aca="false">0</f>
        <v>0</v>
      </c>
      <c r="R278" s="71" t="n">
        <f aca="false">0</f>
        <v>0</v>
      </c>
      <c r="S278" s="71" t="n">
        <f aca="false">0</f>
        <v>0</v>
      </c>
      <c r="T278" s="71" t="n">
        <f aca="false">0</f>
        <v>0</v>
      </c>
      <c r="U278" s="71" t="n">
        <f aca="false">0</f>
        <v>0</v>
      </c>
      <c r="V278" s="71" t="n">
        <f aca="false">0</f>
        <v>0</v>
      </c>
      <c r="W278" s="71" t="n">
        <f aca="false">0</f>
        <v>0</v>
      </c>
      <c r="X278" s="71" t="n">
        <f aca="false">0</f>
        <v>0</v>
      </c>
      <c r="Y278" s="71" t="n">
        <f aca="false">0</f>
        <v>0</v>
      </c>
      <c r="Z278" s="71" t="n">
        <f aca="false">0</f>
        <v>0</v>
      </c>
      <c r="AA278" s="71" t="n">
        <f aca="false">0</f>
        <v>0</v>
      </c>
      <c r="AB278" s="71" t="n">
        <f aca="false">0</f>
        <v>0</v>
      </c>
    </row>
    <row r="279" customFormat="false" ht="15" hidden="false" customHeight="false" outlineLevel="0" collapsed="false">
      <c r="A279" s="28" t="s">
        <v>334</v>
      </c>
      <c r="B279" s="58" t="s">
        <v>53</v>
      </c>
      <c r="C279" s="59" t="n">
        <f aca="false">SUM(E279:P279)</f>
        <v>36299.79</v>
      </c>
      <c r="D279" s="59" t="n">
        <f aca="false">SUM(Q279:AB279)</f>
        <v>31365</v>
      </c>
      <c r="E279" s="60" t="n">
        <f aca="false">TM_Media!E51</f>
        <v>2629.71</v>
      </c>
      <c r="F279" s="60" t="n">
        <f aca="false">TM_Media!F51</f>
        <v>2664.43</v>
      </c>
      <c r="G279" s="60" t="n">
        <f aca="false">TM_Media!G51</f>
        <v>2879.38</v>
      </c>
      <c r="H279" s="60" t="n">
        <f aca="false">TM_Media!H51</f>
        <v>3097.34</v>
      </c>
      <c r="I279" s="60" t="n">
        <f aca="false">TM_Media!I51</f>
        <v>3121.14</v>
      </c>
      <c r="J279" s="60" t="n">
        <f aca="false">TM_Media!J51</f>
        <v>2970.27</v>
      </c>
      <c r="K279" s="60" t="n">
        <f aca="false">TM_Media!K51</f>
        <v>2499.33</v>
      </c>
      <c r="L279" s="60" t="n">
        <f aca="false">TM_Media!L51</f>
        <v>2488.19</v>
      </c>
      <c r="M279" s="60" t="n">
        <f aca="false">TM_Media!M51</f>
        <v>3000</v>
      </c>
      <c r="N279" s="60" t="n">
        <f aca="false">TM_Media!N51</f>
        <v>3300</v>
      </c>
      <c r="O279" s="60" t="n">
        <f aca="false">TM_Media!O51</f>
        <v>4050</v>
      </c>
      <c r="P279" s="60" t="n">
        <f aca="false">TM_Media!P51</f>
        <v>3600</v>
      </c>
      <c r="Q279" s="60" t="n">
        <f aca="false">TM_Media!Q51</f>
        <v>2550</v>
      </c>
      <c r="R279" s="60" t="n">
        <f aca="false">TM_Media!R51</f>
        <v>2550</v>
      </c>
      <c r="S279" s="60" t="n">
        <f aca="false">TM_Media!S51</f>
        <v>2422.5</v>
      </c>
      <c r="T279" s="60" t="n">
        <f aca="false">TM_Media!T51</f>
        <v>2550</v>
      </c>
      <c r="U279" s="60" t="n">
        <f aca="false">TM_Media!U51</f>
        <v>2550</v>
      </c>
      <c r="V279" s="60" t="n">
        <f aca="false">TM_Media!V51</f>
        <v>2422.5</v>
      </c>
      <c r="W279" s="60" t="n">
        <f aca="false">TM_Media!W51</f>
        <v>2167.5</v>
      </c>
      <c r="X279" s="60" t="n">
        <f aca="false">TM_Media!X51</f>
        <v>2295</v>
      </c>
      <c r="Y279" s="60" t="n">
        <f aca="false">TM_Media!Y51</f>
        <v>2550</v>
      </c>
      <c r="Z279" s="60" t="n">
        <f aca="false">TM_Media!Z51</f>
        <v>2805</v>
      </c>
      <c r="AA279" s="60" t="n">
        <f aca="false">TM_Media!AA51</f>
        <v>3442.5</v>
      </c>
      <c r="AB279" s="60" t="n">
        <f aca="false">TM_Media!AB51</f>
        <v>3060</v>
      </c>
    </row>
    <row r="280" customFormat="false" ht="15" hidden="false" customHeight="false" outlineLevel="0" collapsed="false">
      <c r="A280" s="28" t="s">
        <v>701</v>
      </c>
      <c r="B280" s="58" t="s">
        <v>51</v>
      </c>
      <c r="C280" s="59" t="n">
        <f aca="false">SUM(E280:P280)</f>
        <v>0</v>
      </c>
      <c r="D280" s="59" t="n">
        <f aca="false">SUM(Q280:AB280)</f>
        <v>0</v>
      </c>
      <c r="E280" s="71" t="n">
        <f aca="false">0</f>
        <v>0</v>
      </c>
      <c r="F280" s="71" t="n">
        <f aca="false">0</f>
        <v>0</v>
      </c>
      <c r="G280" s="71" t="n">
        <f aca="false">0</f>
        <v>0</v>
      </c>
      <c r="H280" s="71" t="n">
        <f aca="false">0</f>
        <v>0</v>
      </c>
      <c r="I280" s="71" t="n">
        <f aca="false">0</f>
        <v>0</v>
      </c>
      <c r="J280" s="71" t="n">
        <f aca="false">0</f>
        <v>0</v>
      </c>
      <c r="K280" s="71" t="n">
        <f aca="false">0</f>
        <v>0</v>
      </c>
      <c r="L280" s="71" t="n">
        <f aca="false">0</f>
        <v>0</v>
      </c>
      <c r="M280" s="71" t="n">
        <f aca="false">0</f>
        <v>0</v>
      </c>
      <c r="N280" s="71" t="n">
        <f aca="false">0</f>
        <v>0</v>
      </c>
      <c r="O280" s="71" t="n">
        <f aca="false">0</f>
        <v>0</v>
      </c>
      <c r="P280" s="71" t="n">
        <f aca="false">0</f>
        <v>0</v>
      </c>
      <c r="Q280" s="71" t="n">
        <f aca="false">0</f>
        <v>0</v>
      </c>
      <c r="R280" s="71" t="n">
        <f aca="false">0</f>
        <v>0</v>
      </c>
      <c r="S280" s="71" t="n">
        <f aca="false">0</f>
        <v>0</v>
      </c>
      <c r="T280" s="71" t="n">
        <f aca="false">0</f>
        <v>0</v>
      </c>
      <c r="U280" s="71" t="n">
        <f aca="false">0</f>
        <v>0</v>
      </c>
      <c r="V280" s="71" t="n">
        <f aca="false">0</f>
        <v>0</v>
      </c>
      <c r="W280" s="71" t="n">
        <f aca="false">0</f>
        <v>0</v>
      </c>
      <c r="X280" s="71" t="n">
        <f aca="false">0</f>
        <v>0</v>
      </c>
      <c r="Y280" s="71" t="n">
        <f aca="false">0</f>
        <v>0</v>
      </c>
      <c r="Z280" s="71" t="n">
        <f aca="false">0</f>
        <v>0</v>
      </c>
      <c r="AA280" s="71" t="n">
        <f aca="false">0</f>
        <v>0</v>
      </c>
      <c r="AB280" s="71" t="n">
        <f aca="false">0</f>
        <v>0</v>
      </c>
    </row>
    <row r="281" customFormat="false" ht="15" hidden="false" customHeight="false" outlineLevel="0" collapsed="false">
      <c r="A281" s="68" t="s">
        <v>743</v>
      </c>
      <c r="B281" s="69"/>
      <c r="C281" s="70" t="n">
        <f aca="false">SUM(E281:P281)</f>
        <v>204299.79</v>
      </c>
      <c r="D281" s="70" t="n">
        <f aca="false">SUM(Q281:AB281)</f>
        <v>183125</v>
      </c>
      <c r="E281" s="70" t="n">
        <f aca="false">SUM(E276:E280)</f>
        <v>16629.71</v>
      </c>
      <c r="F281" s="70" t="n">
        <f aca="false">SUM(F276:F280)</f>
        <v>16664.43</v>
      </c>
      <c r="G281" s="70" t="n">
        <f aca="false">SUM(G276:G280)</f>
        <v>16879.38</v>
      </c>
      <c r="H281" s="70" t="n">
        <f aca="false">SUM(H276:H280)</f>
        <v>17097.34</v>
      </c>
      <c r="I281" s="70" t="n">
        <f aca="false">SUM(I276:I280)</f>
        <v>17121.14</v>
      </c>
      <c r="J281" s="70" t="n">
        <f aca="false">SUM(J276:J280)</f>
        <v>16970.27</v>
      </c>
      <c r="K281" s="70" t="n">
        <f aca="false">SUM(K276:K280)</f>
        <v>16499.33</v>
      </c>
      <c r="L281" s="70" t="n">
        <f aca="false">SUM(L276:L280)</f>
        <v>16488.19</v>
      </c>
      <c r="M281" s="70" t="n">
        <f aca="false">SUM(M276:M280)</f>
        <v>17000</v>
      </c>
      <c r="N281" s="70" t="n">
        <f aca="false">SUM(N276:N280)</f>
        <v>17300</v>
      </c>
      <c r="O281" s="70" t="n">
        <f aca="false">SUM(O276:O280)</f>
        <v>18050</v>
      </c>
      <c r="P281" s="70" t="n">
        <f aca="false">SUM(P276:P280)</f>
        <v>17600</v>
      </c>
      <c r="Q281" s="70" t="n">
        <f aca="false">SUM(Q276:Q280)</f>
        <v>16550</v>
      </c>
      <c r="R281" s="70" t="n">
        <f aca="false">SUM(R276:R280)</f>
        <v>16550</v>
      </c>
      <c r="S281" s="70" t="n">
        <f aca="false">SUM(S276:S280)</f>
        <v>14798.5</v>
      </c>
      <c r="T281" s="70" t="n">
        <f aca="false">SUM(T276:T280)</f>
        <v>14926</v>
      </c>
      <c r="U281" s="70" t="n">
        <f aca="false">SUM(U276:U280)</f>
        <v>14926</v>
      </c>
      <c r="V281" s="70" t="n">
        <f aca="false">SUM(V276:V280)</f>
        <v>14798.5</v>
      </c>
      <c r="W281" s="70" t="n">
        <f aca="false">SUM(W276:W280)</f>
        <v>14543.5</v>
      </c>
      <c r="X281" s="70" t="n">
        <f aca="false">SUM(X276:X280)</f>
        <v>14671</v>
      </c>
      <c r="Y281" s="70" t="n">
        <f aca="false">SUM(Y276:Y280)</f>
        <v>14926</v>
      </c>
      <c r="Z281" s="70" t="n">
        <f aca="false">SUM(Z276:Z280)</f>
        <v>15181</v>
      </c>
      <c r="AA281" s="70" t="n">
        <f aca="false">SUM(AA276:AA280)</f>
        <v>15818.5</v>
      </c>
      <c r="AB281" s="70" t="n">
        <f aca="false">SUM(AB276:AB280)</f>
        <v>15436</v>
      </c>
    </row>
    <row r="282" customFormat="false" ht="15" hidden="false" customHeight="false" outlineLevel="0" collapsed="false">
      <c r="A282" s="28" t="s">
        <v>703</v>
      </c>
      <c r="B282" s="58"/>
      <c r="C282" s="59" t="n">
        <f aca="false">SUM(E282:P282)</f>
        <v>204299.79</v>
      </c>
      <c r="D282" s="59" t="n">
        <f aca="false">SUM(Q282:AB282)</f>
        <v>183125</v>
      </c>
      <c r="E282" s="71" t="n">
        <f aca="false">E281/1</f>
        <v>16629.71</v>
      </c>
      <c r="F282" s="71" t="n">
        <f aca="false">F281/1</f>
        <v>16664.43</v>
      </c>
      <c r="G282" s="71" t="n">
        <f aca="false">G281/1</f>
        <v>16879.38</v>
      </c>
      <c r="H282" s="71" t="n">
        <f aca="false">H281/1</f>
        <v>17097.34</v>
      </c>
      <c r="I282" s="71" t="n">
        <f aca="false">I281/1</f>
        <v>17121.14</v>
      </c>
      <c r="J282" s="71" t="n">
        <f aca="false">J281/1</f>
        <v>16970.27</v>
      </c>
      <c r="K282" s="71" t="n">
        <f aca="false">K281/1</f>
        <v>16499.33</v>
      </c>
      <c r="L282" s="71" t="n">
        <f aca="false">L281/1</f>
        <v>16488.19</v>
      </c>
      <c r="M282" s="71" t="n">
        <f aca="false">M281/1</f>
        <v>17000</v>
      </c>
      <c r="N282" s="71" t="n">
        <f aca="false">N281/1</f>
        <v>17300</v>
      </c>
      <c r="O282" s="71" t="n">
        <f aca="false">O281/1</f>
        <v>18050</v>
      </c>
      <c r="P282" s="71" t="n">
        <f aca="false">P281/1</f>
        <v>17600</v>
      </c>
      <c r="Q282" s="71" t="n">
        <f aca="false">Q281/1</f>
        <v>16550</v>
      </c>
      <c r="R282" s="71" t="n">
        <f aca="false">R281/1</f>
        <v>16550</v>
      </c>
      <c r="S282" s="71" t="n">
        <f aca="false">S281/1</f>
        <v>14798.5</v>
      </c>
      <c r="T282" s="71" t="n">
        <f aca="false">T281/1</f>
        <v>14926</v>
      </c>
      <c r="U282" s="71" t="n">
        <f aca="false">U281/1</f>
        <v>14926</v>
      </c>
      <c r="V282" s="71" t="n">
        <f aca="false">V281/1</f>
        <v>14798.5</v>
      </c>
      <c r="W282" s="71" t="n">
        <f aca="false">W281/1</f>
        <v>14543.5</v>
      </c>
      <c r="X282" s="71" t="n">
        <f aca="false">X281/1</f>
        <v>14671</v>
      </c>
      <c r="Y282" s="71" t="n">
        <f aca="false">Y281/1</f>
        <v>14926</v>
      </c>
      <c r="Z282" s="71" t="n">
        <f aca="false">Z281/1</f>
        <v>15181</v>
      </c>
      <c r="AA282" s="71" t="n">
        <f aca="false">AA281/1</f>
        <v>15818.5</v>
      </c>
      <c r="AB282" s="71" t="n">
        <f aca="false">AB281/1</f>
        <v>15436</v>
      </c>
    </row>
    <row r="283" customFormat="false" ht="15" hidden="false" customHeight="false" outlineLevel="0" collapsed="false">
      <c r="A283" s="28" t="s">
        <v>704</v>
      </c>
      <c r="B283" s="58" t="s">
        <v>51</v>
      </c>
      <c r="C283" s="59" t="n">
        <f aca="false">SUM(E283:P283)</f>
        <v>0</v>
      </c>
      <c r="D283" s="59" t="n">
        <f aca="false">SUM(Q283:AB283)</f>
        <v>0</v>
      </c>
      <c r="E283" s="71" t="n">
        <f aca="false">0</f>
        <v>0</v>
      </c>
      <c r="F283" s="71" t="n">
        <f aca="false">0</f>
        <v>0</v>
      </c>
      <c r="G283" s="71" t="n">
        <f aca="false">0</f>
        <v>0</v>
      </c>
      <c r="H283" s="71" t="n">
        <f aca="false">0</f>
        <v>0</v>
      </c>
      <c r="I283" s="71" t="n">
        <f aca="false">0</f>
        <v>0</v>
      </c>
      <c r="J283" s="71" t="n">
        <f aca="false">0</f>
        <v>0</v>
      </c>
      <c r="K283" s="71" t="n">
        <f aca="false">0</f>
        <v>0</v>
      </c>
      <c r="L283" s="71" t="n">
        <f aca="false">0</f>
        <v>0</v>
      </c>
      <c r="M283" s="71" t="n">
        <f aca="false">0</f>
        <v>0</v>
      </c>
      <c r="N283" s="71" t="n">
        <f aca="false">0</f>
        <v>0</v>
      </c>
      <c r="O283" s="71" t="n">
        <f aca="false">0</f>
        <v>0</v>
      </c>
      <c r="P283" s="71" t="n">
        <f aca="false">0</f>
        <v>0</v>
      </c>
      <c r="Q283" s="71" t="n">
        <f aca="false">0</f>
        <v>0</v>
      </c>
      <c r="R283" s="71" t="n">
        <f aca="false">0</f>
        <v>0</v>
      </c>
      <c r="S283" s="71" t="n">
        <f aca="false">0</f>
        <v>0</v>
      </c>
      <c r="T283" s="71" t="n">
        <f aca="false">0</f>
        <v>0</v>
      </c>
      <c r="U283" s="71" t="n">
        <f aca="false">0</f>
        <v>0</v>
      </c>
      <c r="V283" s="71" t="n">
        <f aca="false">0</f>
        <v>0</v>
      </c>
      <c r="W283" s="71" t="n">
        <f aca="false">0</f>
        <v>0</v>
      </c>
      <c r="X283" s="71" t="n">
        <f aca="false">0</f>
        <v>0</v>
      </c>
      <c r="Y283" s="71" t="n">
        <f aca="false">0</f>
        <v>0</v>
      </c>
      <c r="Z283" s="71" t="n">
        <f aca="false">0</f>
        <v>0</v>
      </c>
      <c r="AA283" s="71" t="n">
        <f aca="false">0</f>
        <v>0</v>
      </c>
      <c r="AB283" s="71" t="n">
        <f aca="false">0</f>
        <v>0</v>
      </c>
    </row>
    <row r="284" customFormat="false" ht="15" hidden="false" customHeight="false" outlineLevel="0" collapsed="false">
      <c r="A284" s="68" t="s">
        <v>705</v>
      </c>
      <c r="B284" s="69" t="s">
        <v>706</v>
      </c>
      <c r="C284" s="70" t="n">
        <f aca="false">SUM(E284:P284)</f>
        <v>204299.79</v>
      </c>
      <c r="D284" s="70" t="n">
        <f aca="false">SUM(Q284:AB284)</f>
        <v>183125</v>
      </c>
      <c r="E284" s="70" t="n">
        <f aca="false">E282-E283</f>
        <v>16629.71</v>
      </c>
      <c r="F284" s="70" t="n">
        <f aca="false">F282-F283</f>
        <v>16664.43</v>
      </c>
      <c r="G284" s="70" t="n">
        <f aca="false">G282-G283</f>
        <v>16879.38</v>
      </c>
      <c r="H284" s="70" t="n">
        <f aca="false">H282-H283</f>
        <v>17097.34</v>
      </c>
      <c r="I284" s="70" t="n">
        <f aca="false">I282-I283</f>
        <v>17121.14</v>
      </c>
      <c r="J284" s="70" t="n">
        <f aca="false">J282-J283</f>
        <v>16970.27</v>
      </c>
      <c r="K284" s="70" t="n">
        <f aca="false">K282-K283</f>
        <v>16499.33</v>
      </c>
      <c r="L284" s="70" t="n">
        <f aca="false">L282-L283</f>
        <v>16488.19</v>
      </c>
      <c r="M284" s="70" t="n">
        <f aca="false">M282-M283</f>
        <v>17000</v>
      </c>
      <c r="N284" s="70" t="n">
        <f aca="false">N282-N283</f>
        <v>17300</v>
      </c>
      <c r="O284" s="70" t="n">
        <f aca="false">O282-O283</f>
        <v>18050</v>
      </c>
      <c r="P284" s="70" t="n">
        <f aca="false">P282-P283</f>
        <v>17600</v>
      </c>
      <c r="Q284" s="70" t="n">
        <f aca="false">Q282-Q283</f>
        <v>16550</v>
      </c>
      <c r="R284" s="70" t="n">
        <f aca="false">R282-R283</f>
        <v>16550</v>
      </c>
      <c r="S284" s="70" t="n">
        <f aca="false">S282-S283</f>
        <v>14798.5</v>
      </c>
      <c r="T284" s="70" t="n">
        <f aca="false">T282-T283</f>
        <v>14926</v>
      </c>
      <c r="U284" s="70" t="n">
        <f aca="false">U282-U283</f>
        <v>14926</v>
      </c>
      <c r="V284" s="70" t="n">
        <f aca="false">V282-V283</f>
        <v>14798.5</v>
      </c>
      <c r="W284" s="70" t="n">
        <f aca="false">W282-W283</f>
        <v>14543.5</v>
      </c>
      <c r="X284" s="70" t="n">
        <f aca="false">X282-X283</f>
        <v>14671</v>
      </c>
      <c r="Y284" s="70" t="n">
        <f aca="false">Y282-Y283</f>
        <v>14926</v>
      </c>
      <c r="Z284" s="70" t="n">
        <f aca="false">Z282-Z283</f>
        <v>15181</v>
      </c>
      <c r="AA284" s="70" t="n">
        <f aca="false">AA282-AA283</f>
        <v>15818.5</v>
      </c>
      <c r="AB284" s="70" t="n">
        <f aca="false">AB282-AB283</f>
        <v>15436</v>
      </c>
    </row>
    <row r="285" customFormat="false" ht="15" hidden="false" customHeight="false" outlineLevel="0" collapsed="false">
      <c r="A285" s="28" t="s">
        <v>707</v>
      </c>
      <c r="B285" s="58" t="s">
        <v>708</v>
      </c>
      <c r="C285" s="66" t="n">
        <f aca="false">SUM(E285:P285)</f>
        <v>2340.42</v>
      </c>
      <c r="D285" s="66" t="n">
        <f aca="false">SUM(Q285:AB285)</f>
        <v>2084.4525</v>
      </c>
      <c r="E285" s="67" t="n">
        <f aca="false">Retainers!E93+TM_Media!E52</f>
        <v>201.4</v>
      </c>
      <c r="F285" s="67" t="n">
        <f aca="false">Retainers!F93+TM_Media!F52</f>
        <v>195</v>
      </c>
      <c r="G285" s="67" t="n">
        <f aca="false">Retainers!G93+TM_Media!G52</f>
        <v>203.4</v>
      </c>
      <c r="H285" s="67" t="n">
        <f aca="false">Retainers!H93+TM_Media!H52</f>
        <v>191.2</v>
      </c>
      <c r="I285" s="67" t="n">
        <f aca="false">Retainers!I93+TM_Media!I52</f>
        <v>193.9</v>
      </c>
      <c r="J285" s="67" t="n">
        <f aca="false">Retainers!J93+TM_Media!J52</f>
        <v>187.7</v>
      </c>
      <c r="K285" s="67" t="n">
        <f aca="false">Retainers!K93+TM_Media!K52</f>
        <v>197.4</v>
      </c>
      <c r="L285" s="67" t="n">
        <f aca="false">Retainers!L93+TM_Media!L52</f>
        <v>199.2</v>
      </c>
      <c r="M285" s="67" t="n">
        <f aca="false">Retainers!M93+TM_Media!M52</f>
        <v>192.805</v>
      </c>
      <c r="N285" s="67" t="n">
        <f aca="false">Retainers!N93+TM_Media!N52</f>
        <v>192.805</v>
      </c>
      <c r="O285" s="67" t="n">
        <f aca="false">Retainers!O93+TM_Media!O52</f>
        <v>192.805</v>
      </c>
      <c r="P285" s="67" t="n">
        <f aca="false">Retainers!P93+TM_Media!P52</f>
        <v>192.805</v>
      </c>
      <c r="Q285" s="67" t="n">
        <f aca="false">Retainers!Q93+TM_Media!Q52</f>
        <v>192.805</v>
      </c>
      <c r="R285" s="67" t="n">
        <f aca="false">Retainers!R93+TM_Media!R52</f>
        <v>192.805</v>
      </c>
      <c r="S285" s="67" t="n">
        <f aca="false">Retainers!S93+TM_Media!S52</f>
        <v>169.88425</v>
      </c>
      <c r="T285" s="67" t="n">
        <f aca="false">Retainers!T93+TM_Media!T52</f>
        <v>169.88425</v>
      </c>
      <c r="U285" s="67" t="n">
        <f aca="false">Retainers!U93+TM_Media!U52</f>
        <v>169.88425</v>
      </c>
      <c r="V285" s="67" t="n">
        <f aca="false">Retainers!V93+TM_Media!V52</f>
        <v>169.88425</v>
      </c>
      <c r="W285" s="67" t="n">
        <f aca="false">Retainers!W93+TM_Media!W52</f>
        <v>169.88425</v>
      </c>
      <c r="X285" s="67" t="n">
        <f aca="false">Retainers!X93+TM_Media!X52</f>
        <v>169.88425</v>
      </c>
      <c r="Y285" s="67" t="n">
        <f aca="false">Retainers!Y93+TM_Media!Y52</f>
        <v>169.88425</v>
      </c>
      <c r="Z285" s="67" t="n">
        <f aca="false">Retainers!Z93+TM_Media!Z52</f>
        <v>169.88425</v>
      </c>
      <c r="AA285" s="67" t="n">
        <f aca="false">Retainers!AA93+TM_Media!AA52</f>
        <v>169.88425</v>
      </c>
      <c r="AB285" s="67" t="n">
        <f aca="false">Retainers!AB93+TM_Media!AB52</f>
        <v>169.88425</v>
      </c>
    </row>
    <row r="286" customFormat="false" ht="15" hidden="false" customHeight="false" outlineLevel="0" collapsed="false">
      <c r="A286" s="28" t="s">
        <v>709</v>
      </c>
      <c r="B286" s="58" t="s">
        <v>710</v>
      </c>
      <c r="C286" s="59" t="n">
        <f aca="false">SUM(E286:P286)</f>
        <v>109561.800565616</v>
      </c>
      <c r="D286" s="59" t="n">
        <f aca="false">SUM(Q286:AB286)</f>
        <v>102008.130847086</v>
      </c>
      <c r="E286" s="60" t="n">
        <f aca="false">Retainers!E93*Utilisation!E89+TM_Media!E52*Utilisation!E93</f>
        <v>9427.21357698504</v>
      </c>
      <c r="F286" s="60" t="n">
        <f aca="false">Retainers!F93*Utilisation!F89+TM_Media!F52*Utilisation!F93</f>
        <v>9128.51654775604</v>
      </c>
      <c r="G286" s="60" t="n">
        <f aca="false">Retainers!G93*Utilisation!G89+TM_Media!G52*Utilisation!G93</f>
        <v>9520.55639861911</v>
      </c>
      <c r="H286" s="60" t="n">
        <f aca="false">Retainers!H93*Utilisation!H89+TM_Media!H52*Utilisation!H93</f>
        <v>8951.16518665132</v>
      </c>
      <c r="I286" s="60" t="n">
        <f aca="false">Retainers!I93*Utilisation!I89+TM_Media!I52*Utilisation!I93</f>
        <v>9077.17799585731</v>
      </c>
      <c r="J286" s="60" t="n">
        <f aca="false">Retainers!J93*Utilisation!J89+TM_Media!J52*Utilisation!J93</f>
        <v>8787.81524879172</v>
      </c>
      <c r="K286" s="60" t="n">
        <f aca="false">Retainers!K93*Utilisation!K89+TM_Media!K52*Utilisation!K93</f>
        <v>9240.52793371692</v>
      </c>
      <c r="L286" s="60" t="n">
        <f aca="false">Retainers!L93*Utilisation!L89+TM_Media!L52*Utilisation!L93</f>
        <v>9324.53647318757</v>
      </c>
      <c r="M286" s="60" t="n">
        <f aca="false">Retainers!M93*Utilisation!M89+TM_Media!M52*Utilisation!M93</f>
        <v>9026.07280101266</v>
      </c>
      <c r="N286" s="60" t="n">
        <f aca="false">Retainers!N93*Utilisation!N89+TM_Media!N52*Utilisation!N93</f>
        <v>9026.07280101266</v>
      </c>
      <c r="O286" s="60" t="n">
        <f aca="false">Retainers!O93*Utilisation!O89+TM_Media!O52*Utilisation!O93</f>
        <v>9026.07280101266</v>
      </c>
      <c r="P286" s="60" t="n">
        <f aca="false">Retainers!P93*Utilisation!P89+TM_Media!P52*Utilisation!P93</f>
        <v>9026.07280101266</v>
      </c>
      <c r="Q286" s="60" t="n">
        <f aca="false">Retainers!Q93*Utilisation!Q89+TM_Media!Q52*Utilisation!Q93</f>
        <v>9432.24607705823</v>
      </c>
      <c r="R286" s="60" t="n">
        <f aca="false">Retainers!R93*Utilisation!R89+TM_Media!R52*Utilisation!R93</f>
        <v>9432.24607705823</v>
      </c>
      <c r="S286" s="60" t="n">
        <f aca="false">Retainers!S93*Utilisation!S89+TM_Media!S52*Utilisation!S93</f>
        <v>8314.36386929696</v>
      </c>
      <c r="T286" s="60" t="n">
        <f aca="false">Retainers!T93*Utilisation!T89+TM_Media!T52*Utilisation!T93</f>
        <v>8314.36386929696</v>
      </c>
      <c r="U286" s="60" t="n">
        <f aca="false">Retainers!U93*Utilisation!U89+TM_Media!U52*Utilisation!U93</f>
        <v>8314.36386929696</v>
      </c>
      <c r="V286" s="60" t="n">
        <f aca="false">Retainers!V93*Utilisation!V89+TM_Media!V52*Utilisation!V93</f>
        <v>8314.36386929696</v>
      </c>
      <c r="W286" s="60" t="n">
        <f aca="false">Retainers!W93*Utilisation!W89+TM_Media!W52*Utilisation!W93</f>
        <v>8314.36386929696</v>
      </c>
      <c r="X286" s="60" t="n">
        <f aca="false">Retainers!X93*Utilisation!X89+TM_Media!X52*Utilisation!X93</f>
        <v>8314.36386929696</v>
      </c>
      <c r="Y286" s="60" t="n">
        <f aca="false">Retainers!Y93*Utilisation!Y89+TM_Media!Y52*Utilisation!Y93</f>
        <v>8314.36386929696</v>
      </c>
      <c r="Z286" s="60" t="n">
        <f aca="false">Retainers!Z93*Utilisation!Z89+TM_Media!Z52*Utilisation!Z93</f>
        <v>8314.36386929696</v>
      </c>
      <c r="AA286" s="60" t="n">
        <f aca="false">Retainers!AA93*Utilisation!AA89+TM_Media!AA52*Utilisation!AA93</f>
        <v>8314.36386929696</v>
      </c>
      <c r="AB286" s="60" t="n">
        <f aca="false">Retainers!AB93*Utilisation!AB89+TM_Media!AB52*Utilisation!AB93</f>
        <v>8314.36386929696</v>
      </c>
    </row>
    <row r="287" customFormat="false" ht="15" hidden="false" customHeight="false" outlineLevel="0" collapsed="false">
      <c r="A287" s="28" t="s">
        <v>711</v>
      </c>
      <c r="B287" s="58" t="s">
        <v>53</v>
      </c>
      <c r="C287" s="59" t="n">
        <f aca="false">SUM(E287:P287)</f>
        <v>362997.99</v>
      </c>
      <c r="D287" s="59" t="n">
        <f aca="false">SUM(Q287:AB287)</f>
        <v>313650</v>
      </c>
      <c r="E287" s="60" t="n">
        <f aca="false">TM_Media!E50</f>
        <v>26297.13</v>
      </c>
      <c r="F287" s="60" t="n">
        <f aca="false">TM_Media!F50</f>
        <v>26644.31</v>
      </c>
      <c r="G287" s="60" t="n">
        <f aca="false">TM_Media!G50</f>
        <v>28793.82</v>
      </c>
      <c r="H287" s="60" t="n">
        <f aca="false">TM_Media!H50</f>
        <v>30973.38</v>
      </c>
      <c r="I287" s="60" t="n">
        <f aca="false">TM_Media!I50</f>
        <v>31211.42</v>
      </c>
      <c r="J287" s="60" t="n">
        <f aca="false">TM_Media!J50</f>
        <v>29702.68</v>
      </c>
      <c r="K287" s="60" t="n">
        <f aca="false">TM_Media!K50</f>
        <v>24993.32</v>
      </c>
      <c r="L287" s="60" t="n">
        <f aca="false">TM_Media!L50</f>
        <v>24881.93</v>
      </c>
      <c r="M287" s="60" t="n">
        <f aca="false">TM_Media!M50</f>
        <v>30000</v>
      </c>
      <c r="N287" s="60" t="n">
        <f aca="false">TM_Media!N50</f>
        <v>33000</v>
      </c>
      <c r="O287" s="60" t="n">
        <f aca="false">TM_Media!O50</f>
        <v>40500</v>
      </c>
      <c r="P287" s="60" t="n">
        <f aca="false">TM_Media!P50</f>
        <v>36000</v>
      </c>
      <c r="Q287" s="60" t="n">
        <f aca="false">TM_Media!Q50</f>
        <v>25500</v>
      </c>
      <c r="R287" s="60" t="n">
        <f aca="false">TM_Media!R50</f>
        <v>25500</v>
      </c>
      <c r="S287" s="60" t="n">
        <f aca="false">TM_Media!S50</f>
        <v>24225</v>
      </c>
      <c r="T287" s="60" t="n">
        <f aca="false">TM_Media!T50</f>
        <v>25500</v>
      </c>
      <c r="U287" s="60" t="n">
        <f aca="false">TM_Media!U50</f>
        <v>25500</v>
      </c>
      <c r="V287" s="60" t="n">
        <f aca="false">TM_Media!V50</f>
        <v>24225</v>
      </c>
      <c r="W287" s="60" t="n">
        <f aca="false">TM_Media!W50</f>
        <v>21675</v>
      </c>
      <c r="X287" s="60" t="n">
        <f aca="false">TM_Media!X50</f>
        <v>22950</v>
      </c>
      <c r="Y287" s="60" t="n">
        <f aca="false">TM_Media!Y50</f>
        <v>25500</v>
      </c>
      <c r="Z287" s="60" t="n">
        <f aca="false">TM_Media!Z50</f>
        <v>28050</v>
      </c>
      <c r="AA287" s="60" t="n">
        <f aca="false">TM_Media!AA50</f>
        <v>34425</v>
      </c>
      <c r="AB287" s="60" t="n">
        <f aca="false">TM_Media!AB50</f>
        <v>30600</v>
      </c>
    </row>
    <row r="288" customFormat="false" ht="15" hidden="false" customHeight="false" outlineLevel="0" collapsed="false">
      <c r="A288" s="28" t="s">
        <v>712</v>
      </c>
      <c r="B288" s="58" t="s">
        <v>713</v>
      </c>
      <c r="C288" s="59" t="n">
        <f aca="false">SUM(E288:P288)</f>
        <v>567297.78</v>
      </c>
      <c r="D288" s="59" t="n">
        <f aca="false">SUM(Q288:AB288)</f>
        <v>496775</v>
      </c>
      <c r="E288" s="60" t="n">
        <f aca="false">Retainers!E96+E279+E287+E280</f>
        <v>42926.84</v>
      </c>
      <c r="F288" s="60" t="n">
        <f aca="false">Retainers!F96+F279+F287+F280</f>
        <v>43308.74</v>
      </c>
      <c r="G288" s="60" t="n">
        <f aca="false">Retainers!G96+G279+G287+G280</f>
        <v>45673.2</v>
      </c>
      <c r="H288" s="60" t="n">
        <f aca="false">Retainers!H96+H279+H287+H280</f>
        <v>48070.72</v>
      </c>
      <c r="I288" s="60" t="n">
        <f aca="false">Retainers!I96+I279+I287+I280</f>
        <v>48332.56</v>
      </c>
      <c r="J288" s="60" t="n">
        <f aca="false">Retainers!J96+J279+J287+J280</f>
        <v>46672.95</v>
      </c>
      <c r="K288" s="60" t="n">
        <f aca="false">Retainers!K96+K279+K287+K280</f>
        <v>41492.65</v>
      </c>
      <c r="L288" s="60" t="n">
        <f aca="false">Retainers!L96+L279+L287+L280</f>
        <v>41370.12</v>
      </c>
      <c r="M288" s="60" t="n">
        <f aca="false">Retainers!M96+M279+M287+M280</f>
        <v>47000</v>
      </c>
      <c r="N288" s="60" t="n">
        <f aca="false">Retainers!N96+N279+N287+N280</f>
        <v>50300</v>
      </c>
      <c r="O288" s="60" t="n">
        <f aca="false">Retainers!O96+O279+O287+O280</f>
        <v>58550</v>
      </c>
      <c r="P288" s="60" t="n">
        <f aca="false">Retainers!P96+P279+P287+P280</f>
        <v>53600</v>
      </c>
      <c r="Q288" s="60" t="n">
        <f aca="false">Retainers!Q96+Q279+Q287+Q280</f>
        <v>42050</v>
      </c>
      <c r="R288" s="60" t="n">
        <f aca="false">Retainers!R96+R279+R287+R280</f>
        <v>42050</v>
      </c>
      <c r="S288" s="60" t="n">
        <f aca="false">Retainers!S96+S279+S287+S280</f>
        <v>39023.5</v>
      </c>
      <c r="T288" s="60" t="n">
        <f aca="false">Retainers!T96+T279+T287+T280</f>
        <v>40426</v>
      </c>
      <c r="U288" s="60" t="n">
        <f aca="false">Retainers!U96+U279+U287+U280</f>
        <v>40426</v>
      </c>
      <c r="V288" s="60" t="n">
        <f aca="false">Retainers!V96+V279+V287+V280</f>
        <v>39023.5</v>
      </c>
      <c r="W288" s="60" t="n">
        <f aca="false">Retainers!W96+W279+W287+W280</f>
        <v>36218.5</v>
      </c>
      <c r="X288" s="60" t="n">
        <f aca="false">Retainers!X96+X279+X287+X280</f>
        <v>37621</v>
      </c>
      <c r="Y288" s="60" t="n">
        <f aca="false">Retainers!Y96+Y279+Y287+Y280</f>
        <v>40426</v>
      </c>
      <c r="Z288" s="60" t="n">
        <f aca="false">Retainers!Z96+Z279+Z287+Z280</f>
        <v>43231</v>
      </c>
      <c r="AA288" s="60" t="n">
        <f aca="false">Retainers!AA96+AA279+AA287+AA280</f>
        <v>50243.5</v>
      </c>
      <c r="AB288" s="60" t="n">
        <f aca="false">Retainers!AB96+AB279+AB287+AB280</f>
        <v>46036</v>
      </c>
    </row>
    <row r="289" customFormat="false" ht="15" hidden="false" customHeight="false" outlineLevel="0" collapsed="false">
      <c r="A289" s="28" t="s">
        <v>714</v>
      </c>
      <c r="B289" s="58" t="s">
        <v>715</v>
      </c>
      <c r="C289" s="59" t="n">
        <f aca="false">SUM(E289:P289)</f>
        <v>0</v>
      </c>
      <c r="D289" s="59" t="n">
        <f aca="false">SUM(Q289:AB289)</f>
        <v>0</v>
      </c>
      <c r="E289" s="60" t="n">
        <f aca="false">E288*Client_Register!$F$19</f>
        <v>0</v>
      </c>
      <c r="F289" s="60" t="n">
        <f aca="false">F288*Client_Register!$F$19</f>
        <v>0</v>
      </c>
      <c r="G289" s="60" t="n">
        <f aca="false">G288*Client_Register!$F$19</f>
        <v>0</v>
      </c>
      <c r="H289" s="60" t="n">
        <f aca="false">H288*Client_Register!$F$19</f>
        <v>0</v>
      </c>
      <c r="I289" s="60" t="n">
        <f aca="false">I288*Client_Register!$F$19</f>
        <v>0</v>
      </c>
      <c r="J289" s="60" t="n">
        <f aca="false">J288*Client_Register!$F$19</f>
        <v>0</v>
      </c>
      <c r="K289" s="60" t="n">
        <f aca="false">K288*Client_Register!$F$19</f>
        <v>0</v>
      </c>
      <c r="L289" s="60" t="n">
        <f aca="false">L288*Client_Register!$F$19</f>
        <v>0</v>
      </c>
      <c r="M289" s="60" t="n">
        <f aca="false">M288*Client_Register!$F$19</f>
        <v>0</v>
      </c>
      <c r="N289" s="60" t="n">
        <f aca="false">N288*Client_Register!$F$19</f>
        <v>0</v>
      </c>
      <c r="O289" s="60" t="n">
        <f aca="false">O288*Client_Register!$F$19</f>
        <v>0</v>
      </c>
      <c r="P289" s="60" t="n">
        <f aca="false">P288*Client_Register!$F$19</f>
        <v>0</v>
      </c>
      <c r="Q289" s="60" t="n">
        <f aca="false">Q288*Client_Register!$F$19</f>
        <v>0</v>
      </c>
      <c r="R289" s="60" t="n">
        <f aca="false">R288*Client_Register!$F$19</f>
        <v>0</v>
      </c>
      <c r="S289" s="60" t="n">
        <f aca="false">S288*Client_Register!$F$19</f>
        <v>0</v>
      </c>
      <c r="T289" s="60" t="n">
        <f aca="false">T288*Client_Register!$F$19</f>
        <v>0</v>
      </c>
      <c r="U289" s="60" t="n">
        <f aca="false">U288*Client_Register!$F$19</f>
        <v>0</v>
      </c>
      <c r="V289" s="60" t="n">
        <f aca="false">V288*Client_Register!$F$19</f>
        <v>0</v>
      </c>
      <c r="W289" s="60" t="n">
        <f aca="false">W288*Client_Register!$F$19</f>
        <v>0</v>
      </c>
      <c r="X289" s="60" t="n">
        <f aca="false">X288*Client_Register!$F$19</f>
        <v>0</v>
      </c>
      <c r="Y289" s="60" t="n">
        <f aca="false">Y288*Client_Register!$F$19</f>
        <v>0</v>
      </c>
      <c r="Z289" s="60" t="n">
        <f aca="false">Z288*Client_Register!$F$19</f>
        <v>0</v>
      </c>
      <c r="AA289" s="60" t="n">
        <f aca="false">AA288*Client_Register!$F$19</f>
        <v>0</v>
      </c>
      <c r="AB289" s="60" t="n">
        <f aca="false">AB288*Client_Register!$F$19</f>
        <v>0</v>
      </c>
    </row>
    <row r="290" customFormat="false" ht="15" hidden="false" customHeight="false" outlineLevel="0" collapsed="false">
      <c r="A290" s="68" t="s">
        <v>716</v>
      </c>
      <c r="B290" s="69"/>
      <c r="C290" s="70" t="n">
        <f aca="false">SUM(E290:P290)</f>
        <v>567297.78</v>
      </c>
      <c r="D290" s="70" t="n">
        <f aca="false">SUM(Q290:AB290)</f>
        <v>496775</v>
      </c>
      <c r="E290" s="70" t="n">
        <f aca="false">E288+E289</f>
        <v>42926.84</v>
      </c>
      <c r="F290" s="70" t="n">
        <f aca="false">F288+F289</f>
        <v>43308.74</v>
      </c>
      <c r="G290" s="70" t="n">
        <f aca="false">G288+G289</f>
        <v>45673.2</v>
      </c>
      <c r="H290" s="70" t="n">
        <f aca="false">H288+H289</f>
        <v>48070.72</v>
      </c>
      <c r="I290" s="70" t="n">
        <f aca="false">I288+I289</f>
        <v>48332.56</v>
      </c>
      <c r="J290" s="70" t="n">
        <f aca="false">J288+J289</f>
        <v>46672.95</v>
      </c>
      <c r="K290" s="70" t="n">
        <f aca="false">K288+K289</f>
        <v>41492.65</v>
      </c>
      <c r="L290" s="70" t="n">
        <f aca="false">L288+L289</f>
        <v>41370.12</v>
      </c>
      <c r="M290" s="70" t="n">
        <f aca="false">M288+M289</f>
        <v>47000</v>
      </c>
      <c r="N290" s="70" t="n">
        <f aca="false">N288+N289</f>
        <v>50300</v>
      </c>
      <c r="O290" s="70" t="n">
        <f aca="false">O288+O289</f>
        <v>58550</v>
      </c>
      <c r="P290" s="70" t="n">
        <f aca="false">P288+P289</f>
        <v>53600</v>
      </c>
      <c r="Q290" s="70" t="n">
        <f aca="false">Q288+Q289</f>
        <v>42050</v>
      </c>
      <c r="R290" s="70" t="n">
        <f aca="false">R288+R289</f>
        <v>42050</v>
      </c>
      <c r="S290" s="70" t="n">
        <f aca="false">S288+S289</f>
        <v>39023.5</v>
      </c>
      <c r="T290" s="70" t="n">
        <f aca="false">T288+T289</f>
        <v>40426</v>
      </c>
      <c r="U290" s="70" t="n">
        <f aca="false">U288+U289</f>
        <v>40426</v>
      </c>
      <c r="V290" s="70" t="n">
        <f aca="false">V288+V289</f>
        <v>39023.5</v>
      </c>
      <c r="W290" s="70" t="n">
        <f aca="false">W288+W289</f>
        <v>36218.5</v>
      </c>
      <c r="X290" s="70" t="n">
        <f aca="false">X288+X289</f>
        <v>37621</v>
      </c>
      <c r="Y290" s="70" t="n">
        <f aca="false">Y288+Y289</f>
        <v>40426</v>
      </c>
      <c r="Z290" s="70" t="n">
        <f aca="false">Z288+Z289</f>
        <v>43231</v>
      </c>
      <c r="AA290" s="70" t="n">
        <f aca="false">AA288+AA289</f>
        <v>50243.5</v>
      </c>
      <c r="AB290" s="70" t="n">
        <f aca="false">AB288+AB289</f>
        <v>46036</v>
      </c>
    </row>
    <row r="291" customFormat="false" ht="15" hidden="false" customHeight="false" outlineLevel="0" collapsed="false">
      <c r="A291" s="28" t="s">
        <v>717</v>
      </c>
      <c r="B291" s="58" t="s">
        <v>718</v>
      </c>
      <c r="C291" s="59" t="n">
        <f aca="false">SUM(E291:P291)</f>
        <v>566235.23</v>
      </c>
      <c r="D291" s="59" t="n">
        <f aca="false">SUM(Q291:AB291)</f>
        <v>504339</v>
      </c>
      <c r="E291" s="60" t="n">
        <f aca="false">IF(E$5="A",Inputs_Actuals!E125,Client_Register!$T$19+E290-(E290*MIN(1,Client_Register!$J$19/30)+0*MIN(1,MAX(0,(Client_Register!$J$19-30)/30))+0*MIN(1,MAX(0,(Client_Register!$J$19-60)/30))))</f>
        <v>51045.39</v>
      </c>
      <c r="F291" s="60" t="n">
        <f aca="false">IF(F$5="A",Inputs_Actuals!F125,E292+F290-(F290*MIN(1,Client_Register!$J$19/30)+E290*MIN(1,MAX(0,(Client_Register!$J$19-30)/30))+0*MIN(1,MAX(0,(Client_Register!$J$19-60)/30))))</f>
        <v>48141.74</v>
      </c>
      <c r="G291" s="60" t="n">
        <f aca="false">IF(G$5="A",Inputs_Actuals!G125,F292+G290-(G290*MIN(1,Client_Register!$J$19/30)+F290*MIN(1,MAX(0,(Client_Register!$J$19-30)/30))+E290*MIN(1,MAX(0,(Client_Register!$J$19-60)/30))))</f>
        <v>38125.32</v>
      </c>
      <c r="H291" s="60" t="n">
        <f aca="false">IF(H$5="A",Inputs_Actuals!H125,G292+H290-(H290*MIN(1,Client_Register!$J$19/30)+G290*MIN(1,MAX(0,(Client_Register!$J$19-30)/30))+F290*MIN(1,MAX(0,(Client_Register!$J$19-60)/30))))</f>
        <v>40889.24</v>
      </c>
      <c r="I291" s="60" t="n">
        <f aca="false">IF(I$5="A",Inputs_Actuals!I125,H292+I290-(I290*MIN(1,Client_Register!$J$19/30)+H290*MIN(1,MAX(0,(Client_Register!$J$19-30)/30))+G290*MIN(1,MAX(0,(Client_Register!$J$19-60)/30))))</f>
        <v>50424.69</v>
      </c>
      <c r="J291" s="60" t="n">
        <f aca="false">IF(J$5="A",Inputs_Actuals!J125,I292+J290-(J290*MIN(1,Client_Register!$J$19/30)+I290*MIN(1,MAX(0,(Client_Register!$J$19-30)/30))+H290*MIN(1,MAX(0,(Client_Register!$J$19-60)/30))))</f>
        <v>52689.94</v>
      </c>
      <c r="K291" s="60" t="n">
        <f aca="false">IF(K$5="A",Inputs_Actuals!K125,J292+K290-(K290*MIN(1,Client_Register!$J$19/30)+J290*MIN(1,MAX(0,(Client_Register!$J$19-30)/30))+I290*MIN(1,MAX(0,(Client_Register!$J$19-60)/30))))</f>
        <v>43750.92</v>
      </c>
      <c r="L291" s="60" t="n">
        <f aca="false">IF(L$5="A",Inputs_Actuals!L125,K292+L290-(L290*MIN(1,Client_Register!$J$19/30)+K290*MIN(1,MAX(0,(Client_Register!$J$19-30)/30))+J290*MIN(1,MAX(0,(Client_Register!$J$19-60)/30))))</f>
        <v>48310.61</v>
      </c>
      <c r="M291" s="60" t="n">
        <f aca="false">IF(M$5="A",Inputs_Actuals!M125,L292+M290-(M290*MIN(1,Client_Register!$J$19/30)+L290*MIN(1,MAX(0,(Client_Register!$J$19-30)/30))+K290*MIN(1,MAX(0,(Client_Register!$J$19-60)/30))))</f>
        <v>37007.38</v>
      </c>
      <c r="N291" s="60" t="n">
        <f aca="false">IF(N$5="A",Inputs_Actuals!N125,M292+N290-(N290*MIN(1,Client_Register!$J$19/30)+M290*MIN(1,MAX(0,(Client_Register!$J$19-30)/30))+L290*MIN(1,MAX(0,(Client_Register!$J$19-60)/30))))</f>
        <v>47000</v>
      </c>
      <c r="O291" s="60" t="n">
        <f aca="false">IF(O$5="A",Inputs_Actuals!O125,N292+O290-(O290*MIN(1,Client_Register!$J$19/30)+N290*MIN(1,MAX(0,(Client_Register!$J$19-30)/30))+M290*MIN(1,MAX(0,(Client_Register!$J$19-60)/30))))</f>
        <v>50300</v>
      </c>
      <c r="P291" s="60" t="n">
        <f aca="false">IF(P$5="A",Inputs_Actuals!P125,O292+P290-(P290*MIN(1,Client_Register!$J$19/30)+O290*MIN(1,MAX(0,(Client_Register!$J$19-30)/30))+N290*MIN(1,MAX(0,(Client_Register!$J$19-60)/30))))</f>
        <v>58550</v>
      </c>
      <c r="Q291" s="60" t="n">
        <f aca="false">IF(Q$5="A",Inputs_Actuals!Q125,P292+Q290-(Q290*MIN(1,Client_Register!$J$19/30)+P290*MIN(1,MAX(0,(Client_Register!$J$19-30)/30))+O290*MIN(1,MAX(0,(Client_Register!$J$19-60)/30))))</f>
        <v>53600</v>
      </c>
      <c r="R291" s="60" t="n">
        <f aca="false">IF(R$5="A",Inputs_Actuals!R125,Q292+R290-(R290*MIN(1,Client_Register!$J$19/30)+Q290*MIN(1,MAX(0,(Client_Register!$J$19-30)/30))+P290*MIN(1,MAX(0,(Client_Register!$J$19-60)/30))))</f>
        <v>42050</v>
      </c>
      <c r="S291" s="60" t="n">
        <f aca="false">IF(S$5="A",Inputs_Actuals!S125,R292+S290-(S290*MIN(1,Client_Register!$J$19/30)+R290*MIN(1,MAX(0,(Client_Register!$J$19-30)/30))+Q290*MIN(1,MAX(0,(Client_Register!$J$19-60)/30))))</f>
        <v>42050</v>
      </c>
      <c r="T291" s="60" t="n">
        <f aca="false">IF(T$5="A",Inputs_Actuals!T125,S292+T290-(T290*MIN(1,Client_Register!$J$19/30)+S290*MIN(1,MAX(0,(Client_Register!$J$19-30)/30))+R290*MIN(1,MAX(0,(Client_Register!$J$19-60)/30))))</f>
        <v>39023.5</v>
      </c>
      <c r="U291" s="60" t="n">
        <f aca="false">IF(U$5="A",Inputs_Actuals!U125,T292+U290-(U290*MIN(1,Client_Register!$J$19/30)+T290*MIN(1,MAX(0,(Client_Register!$J$19-30)/30))+S290*MIN(1,MAX(0,(Client_Register!$J$19-60)/30))))</f>
        <v>40426</v>
      </c>
      <c r="V291" s="60" t="n">
        <f aca="false">IF(V$5="A",Inputs_Actuals!V125,U292+V290-(V290*MIN(1,Client_Register!$J$19/30)+U290*MIN(1,MAX(0,(Client_Register!$J$19-30)/30))+T290*MIN(1,MAX(0,(Client_Register!$J$19-60)/30))))</f>
        <v>40426</v>
      </c>
      <c r="W291" s="60" t="n">
        <f aca="false">IF(W$5="A",Inputs_Actuals!W125,V292+W290-(W290*MIN(1,Client_Register!$J$19/30)+V290*MIN(1,MAX(0,(Client_Register!$J$19-30)/30))+U290*MIN(1,MAX(0,(Client_Register!$J$19-60)/30))))</f>
        <v>39023.5</v>
      </c>
      <c r="X291" s="60" t="n">
        <f aca="false">IF(X$5="A",Inputs_Actuals!X125,W292+X290-(X290*MIN(1,Client_Register!$J$19/30)+W290*MIN(1,MAX(0,(Client_Register!$J$19-30)/30))+V290*MIN(1,MAX(0,(Client_Register!$J$19-60)/30))))</f>
        <v>36218.5</v>
      </c>
      <c r="Y291" s="60" t="n">
        <f aca="false">IF(Y$5="A",Inputs_Actuals!Y125,X292+Y290-(Y290*MIN(1,Client_Register!$J$19/30)+X290*MIN(1,MAX(0,(Client_Register!$J$19-30)/30))+W290*MIN(1,MAX(0,(Client_Register!$J$19-60)/30))))</f>
        <v>37621</v>
      </c>
      <c r="Z291" s="60" t="n">
        <f aca="false">IF(Z$5="A",Inputs_Actuals!Z125,Y292+Z290-(Z290*MIN(1,Client_Register!$J$19/30)+Y290*MIN(1,MAX(0,(Client_Register!$J$19-30)/30))+X290*MIN(1,MAX(0,(Client_Register!$J$19-60)/30))))</f>
        <v>40426</v>
      </c>
      <c r="AA291" s="60" t="n">
        <f aca="false">IF(AA$5="A",Inputs_Actuals!AA125,Z292+AA290-(AA290*MIN(1,Client_Register!$J$19/30)+Z290*MIN(1,MAX(0,(Client_Register!$J$19-30)/30))+Y290*MIN(1,MAX(0,(Client_Register!$J$19-60)/30))))</f>
        <v>43231</v>
      </c>
      <c r="AB291" s="60" t="n">
        <f aca="false">IF(AB$5="A",Inputs_Actuals!AB125,AA292+AB290-(AB290*MIN(1,Client_Register!$J$19/30)+AA290*MIN(1,MAX(0,(Client_Register!$J$19-30)/30))+Z290*MIN(1,MAX(0,(Client_Register!$J$19-60)/30))))</f>
        <v>50243.5</v>
      </c>
    </row>
    <row r="292" customFormat="false" ht="15" hidden="false" customHeight="false" outlineLevel="0" collapsed="false">
      <c r="A292" s="68" t="s">
        <v>719</v>
      </c>
      <c r="B292" s="69" t="s">
        <v>720</v>
      </c>
      <c r="C292" s="70" t="n">
        <f aca="false">P292</f>
        <v>53600</v>
      </c>
      <c r="D292" s="70" t="n">
        <f aca="false">AB292</f>
        <v>46036</v>
      </c>
      <c r="E292" s="74" t="n">
        <f aca="false">Client_Register!$T$19+E290-E291</f>
        <v>44418.9</v>
      </c>
      <c r="F292" s="70" t="n">
        <f aca="false">E292+F290-F291</f>
        <v>39585.9</v>
      </c>
      <c r="G292" s="70" t="n">
        <f aca="false">F292+G290-G291</f>
        <v>47133.78</v>
      </c>
      <c r="H292" s="70" t="n">
        <f aca="false">G292+H290-H291</f>
        <v>54315.26</v>
      </c>
      <c r="I292" s="70" t="n">
        <f aca="false">H292+I290-I291</f>
        <v>52223.13</v>
      </c>
      <c r="J292" s="70" t="n">
        <f aca="false">I292+J290-J291</f>
        <v>46206.14</v>
      </c>
      <c r="K292" s="70" t="n">
        <f aca="false">J292+K290-K291</f>
        <v>43947.87</v>
      </c>
      <c r="L292" s="70" t="n">
        <f aca="false">K292+L290-L291</f>
        <v>37007.38</v>
      </c>
      <c r="M292" s="70" t="n">
        <f aca="false">L292+M290-M291</f>
        <v>47000</v>
      </c>
      <c r="N292" s="70" t="n">
        <f aca="false">M292+N290-N291</f>
        <v>50300</v>
      </c>
      <c r="O292" s="70" t="n">
        <f aca="false">N292+O290-O291</f>
        <v>58550</v>
      </c>
      <c r="P292" s="70" t="n">
        <f aca="false">O292+P290-P291</f>
        <v>53600</v>
      </c>
      <c r="Q292" s="70" t="n">
        <f aca="false">P292+Q290-Q291</f>
        <v>42050</v>
      </c>
      <c r="R292" s="70" t="n">
        <f aca="false">Q292+R290-R291</f>
        <v>42050</v>
      </c>
      <c r="S292" s="70" t="n">
        <f aca="false">R292+S290-S291</f>
        <v>39023.5</v>
      </c>
      <c r="T292" s="70" t="n">
        <f aca="false">S292+T290-T291</f>
        <v>40426</v>
      </c>
      <c r="U292" s="70" t="n">
        <f aca="false">T292+U290-U291</f>
        <v>40426</v>
      </c>
      <c r="V292" s="70" t="n">
        <f aca="false">U292+V290-V291</f>
        <v>39023.5</v>
      </c>
      <c r="W292" s="70" t="n">
        <f aca="false">V292+W290-W291</f>
        <v>36218.5</v>
      </c>
      <c r="X292" s="70" t="n">
        <f aca="false">W292+X290-X291</f>
        <v>37621</v>
      </c>
      <c r="Y292" s="70" t="n">
        <f aca="false">X292+Y290-Y291</f>
        <v>40426</v>
      </c>
      <c r="Z292" s="70" t="n">
        <f aca="false">Y292+Z290-Z291</f>
        <v>43231</v>
      </c>
      <c r="AA292" s="70" t="n">
        <f aca="false">Z292+AA290-AA291</f>
        <v>50243.5</v>
      </c>
      <c r="AB292" s="70" t="n">
        <f aca="false">AA292+AB290-AB291</f>
        <v>46036</v>
      </c>
    </row>
    <row r="293" customFormat="false" ht="15" hidden="false" customHeight="false" outlineLevel="0" collapsed="false">
      <c r="A293" s="28" t="s">
        <v>721</v>
      </c>
      <c r="B293" s="58" t="s">
        <v>722</v>
      </c>
      <c r="C293" s="59" t="n">
        <f aca="false">P293</f>
        <v>0</v>
      </c>
      <c r="D293" s="59" t="n">
        <f aca="false">AB293</f>
        <v>0</v>
      </c>
      <c r="E293" s="60" t="n">
        <f aca="false">Client_Register!$U$19+E281-(E288-E287)</f>
        <v>0</v>
      </c>
      <c r="F293" s="71" t="n">
        <f aca="false">E293+F281-(F288-F287)</f>
        <v>0</v>
      </c>
      <c r="G293" s="71" t="n">
        <f aca="false">F293+G281-(G288-G287)</f>
        <v>0</v>
      </c>
      <c r="H293" s="71" t="n">
        <f aca="false">G293+H281-(H288-H287)</f>
        <v>0</v>
      </c>
      <c r="I293" s="71" t="n">
        <f aca="false">H293+I281-(I288-I287)</f>
        <v>0</v>
      </c>
      <c r="J293" s="71" t="n">
        <f aca="false">I293+J281-(J288-J287)</f>
        <v>0</v>
      </c>
      <c r="K293" s="71" t="n">
        <f aca="false">J293+K281-(K288-K287)</f>
        <v>0</v>
      </c>
      <c r="L293" s="71" t="n">
        <f aca="false">K293+L281-(L288-L287)</f>
        <v>0</v>
      </c>
      <c r="M293" s="71" t="n">
        <f aca="false">L293+M281-(M288-M287)</f>
        <v>0</v>
      </c>
      <c r="N293" s="71" t="n">
        <f aca="false">M293+N281-(N288-N287)</f>
        <v>0</v>
      </c>
      <c r="O293" s="71" t="n">
        <f aca="false">N293+O281-(O288-O287)</f>
        <v>0</v>
      </c>
      <c r="P293" s="71" t="n">
        <f aca="false">O293+P281-(P288-P287)</f>
        <v>0</v>
      </c>
      <c r="Q293" s="71" t="n">
        <f aca="false">P293+Q281-(Q288-Q287)</f>
        <v>0</v>
      </c>
      <c r="R293" s="71" t="n">
        <f aca="false">Q293+R281-(R288-R287)</f>
        <v>0</v>
      </c>
      <c r="S293" s="71" t="n">
        <f aca="false">R293+S281-(S288-S287)</f>
        <v>0</v>
      </c>
      <c r="T293" s="71" t="n">
        <f aca="false">S293+T281-(T288-T287)</f>
        <v>0</v>
      </c>
      <c r="U293" s="71" t="n">
        <f aca="false">T293+U281-(U288-U287)</f>
        <v>0</v>
      </c>
      <c r="V293" s="71" t="n">
        <f aca="false">U293+V281-(V288-V287)</f>
        <v>0</v>
      </c>
      <c r="W293" s="71" t="n">
        <f aca="false">V293+W281-(W288-W287)</f>
        <v>0</v>
      </c>
      <c r="X293" s="71" t="n">
        <f aca="false">W293+X281-(X288-X287)</f>
        <v>0</v>
      </c>
      <c r="Y293" s="71" t="n">
        <f aca="false">X293+Y281-(Y288-Y287)</f>
        <v>0</v>
      </c>
      <c r="Z293" s="71" t="n">
        <f aca="false">Y293+Z281-(Z288-Z287)</f>
        <v>0</v>
      </c>
      <c r="AA293" s="71" t="n">
        <f aca="false">Z293+AA281-(AA288-AA287)</f>
        <v>0</v>
      </c>
      <c r="AB293" s="71" t="n">
        <f aca="false">AA293+AB281-(AB288-AB287)</f>
        <v>0</v>
      </c>
    </row>
    <row r="294" customFormat="false" ht="15" hidden="false" customHeight="false" outlineLevel="0" collapsed="false">
      <c r="A294" s="28" t="s">
        <v>723</v>
      </c>
      <c r="B294" s="58"/>
      <c r="C294" s="59" t="n">
        <f aca="false">P294</f>
        <v>53600</v>
      </c>
      <c r="D294" s="59" t="n">
        <f aca="false">AB294</f>
        <v>46036</v>
      </c>
      <c r="E294" s="71" t="n">
        <f aca="false">E292/1</f>
        <v>44418.9</v>
      </c>
      <c r="F294" s="71" t="n">
        <f aca="false">F292/1</f>
        <v>39585.9</v>
      </c>
      <c r="G294" s="71" t="n">
        <f aca="false">G292/1</f>
        <v>47133.78</v>
      </c>
      <c r="H294" s="71" t="n">
        <f aca="false">H292/1</f>
        <v>54315.26</v>
      </c>
      <c r="I294" s="71" t="n">
        <f aca="false">I292/1</f>
        <v>52223.13</v>
      </c>
      <c r="J294" s="71" t="n">
        <f aca="false">J292/1</f>
        <v>46206.14</v>
      </c>
      <c r="K294" s="71" t="n">
        <f aca="false">K292/1</f>
        <v>43947.87</v>
      </c>
      <c r="L294" s="71" t="n">
        <f aca="false">L292/1</f>
        <v>37007.38</v>
      </c>
      <c r="M294" s="71" t="n">
        <f aca="false">M292/1</f>
        <v>47000</v>
      </c>
      <c r="N294" s="71" t="n">
        <f aca="false">N292/1</f>
        <v>50300</v>
      </c>
      <c r="O294" s="71" t="n">
        <f aca="false">O292/1</f>
        <v>58550</v>
      </c>
      <c r="P294" s="71" t="n">
        <f aca="false">P292/1</f>
        <v>53600</v>
      </c>
      <c r="Q294" s="71" t="n">
        <f aca="false">Q292/1</f>
        <v>42050</v>
      </c>
      <c r="R294" s="71" t="n">
        <f aca="false">R292/1</f>
        <v>42050</v>
      </c>
      <c r="S294" s="71" t="n">
        <f aca="false">S292/1</f>
        <v>39023.5</v>
      </c>
      <c r="T294" s="71" t="n">
        <f aca="false">T292/1</f>
        <v>40426</v>
      </c>
      <c r="U294" s="71" t="n">
        <f aca="false">U292/1</f>
        <v>40426</v>
      </c>
      <c r="V294" s="71" t="n">
        <f aca="false">V292/1</f>
        <v>39023.5</v>
      </c>
      <c r="W294" s="71" t="n">
        <f aca="false">W292/1</f>
        <v>36218.5</v>
      </c>
      <c r="X294" s="71" t="n">
        <f aca="false">X292/1</f>
        <v>37621</v>
      </c>
      <c r="Y294" s="71" t="n">
        <f aca="false">Y292/1</f>
        <v>40426</v>
      </c>
      <c r="Z294" s="71" t="n">
        <f aca="false">Z292/1</f>
        <v>43231</v>
      </c>
      <c r="AA294" s="71" t="n">
        <f aca="false">AA292/1</f>
        <v>50243.5</v>
      </c>
      <c r="AB294" s="71" t="n">
        <f aca="false">AB292/1</f>
        <v>46036</v>
      </c>
    </row>
    <row r="295" customFormat="false" ht="15" hidden="false" customHeight="false" outlineLevel="0" collapsed="false">
      <c r="A295" s="28" t="s">
        <v>724</v>
      </c>
      <c r="B295" s="58"/>
      <c r="C295" s="66" t="n">
        <f aca="false">P295</f>
        <v>30.0912280701754</v>
      </c>
      <c r="D295" s="66" t="n">
        <f aca="false">AB295</f>
        <v>30.0943885944069</v>
      </c>
      <c r="E295" s="72" t="n">
        <f aca="false">IFERROR(E292/AVERAGE(E290:E290)*30.4,0)</f>
        <v>31.456649499474</v>
      </c>
      <c r="F295" s="72" t="n">
        <f aca="false">IFERROR(F292/AVERAGE(E290:F290)*30.4,0)</f>
        <v>27.9098571610465</v>
      </c>
      <c r="G295" s="72" t="n">
        <f aca="false">IFERROR(G292/AVERAGE(E290:G290)*30.4,0)</f>
        <v>32.5876771508311</v>
      </c>
      <c r="H295" s="72" t="n">
        <f aca="false">IFERROR(H292/AVERAGE(F290:H290)*30.4,0)</f>
        <v>36.143418974867</v>
      </c>
      <c r="I295" s="72" t="n">
        <f aca="false">IFERROR(I292/AVERAGE(G290:I290)*30.4,0)</f>
        <v>33.5224342269741</v>
      </c>
      <c r="J295" s="72" t="n">
        <f aca="false">IFERROR(J292/AVERAGE(H290:J290)*30.4,0)</f>
        <v>29.4528306204322</v>
      </c>
      <c r="K295" s="72" t="n">
        <f aca="false">IFERROR(K292/AVERAGE(I290:K290)*30.4,0)</f>
        <v>29.3633682974188</v>
      </c>
      <c r="L295" s="72" t="n">
        <f aca="false">IFERROR(L292/AVERAGE(J290:L290)*30.4,0)</f>
        <v>26.0551534047906</v>
      </c>
      <c r="M295" s="72" t="n">
        <f aca="false">IFERROR(M292/AVERAGE(K290:M290)*30.4,0)</f>
        <v>33.0071505482287</v>
      </c>
      <c r="N295" s="72" t="n">
        <f aca="false">IFERROR(N292/AVERAGE(L290:N290)*30.4,0)</f>
        <v>33.0810992303172</v>
      </c>
      <c r="O295" s="72" t="n">
        <f aca="false">IFERROR(O292/AVERAGE(M290:O290)*30.4,0)</f>
        <v>34.2621751684312</v>
      </c>
      <c r="P295" s="72" t="n">
        <f aca="false">IFERROR(P292/AVERAGE(N290:P290)*30.4,0)</f>
        <v>30.0912280701754</v>
      </c>
      <c r="Q295" s="72" t="n">
        <f aca="false">IFERROR(Q292/AVERAGE(O290:Q290)*30.4,0)</f>
        <v>24.8700389105058</v>
      </c>
      <c r="R295" s="72" t="n">
        <f aca="false">IFERROR(R292/AVERAGE(P290:R290)*30.4,0)</f>
        <v>27.8501089324619</v>
      </c>
      <c r="S295" s="72" t="n">
        <f aca="false">IFERROR(S292/AVERAGE(Q290:S290)*30.4,0)</f>
        <v>28.9054745844619</v>
      </c>
      <c r="T295" s="72" t="n">
        <f aca="false">IFERROR(T292/AVERAGE(R290:T290)*30.4,0)</f>
        <v>30.3445791957992</v>
      </c>
      <c r="U295" s="72" t="n">
        <f aca="false">IFERROR(U292/AVERAGE(S290:U290)*30.4,0)</f>
        <v>30.7556690065943</v>
      </c>
      <c r="V295" s="72" t="n">
        <f aca="false">IFERROR(V292/AVERAGE(T290:V290)*30.4,0)</f>
        <v>29.6886619868113</v>
      </c>
      <c r="W295" s="72" t="n">
        <f aca="false">IFERROR(W292/AVERAGE(U290:W290)*30.4,0)</f>
        <v>28.5569664902998</v>
      </c>
      <c r="X295" s="72" t="n">
        <f aca="false">IFERROR(X292/AVERAGE(V290:X290)*30.4,0)</f>
        <v>30.4</v>
      </c>
      <c r="Y295" s="72" t="n">
        <f aca="false">IFERROR(Y292/AVERAGE(W290:Y290)*30.4,0)</f>
        <v>32.265654987726</v>
      </c>
      <c r="Z295" s="72" t="n">
        <f aca="false">IFERROR(Z292/AVERAGE(X290:Z290)*30.4,0)</f>
        <v>32.5093355761144</v>
      </c>
      <c r="AA295" s="72" t="n">
        <f aca="false">IFERROR(AA292/AVERAGE(Y290:AA290)*30.4,0)</f>
        <v>34.2209864787659</v>
      </c>
      <c r="AB295" s="72" t="n">
        <f aca="false">IFERROR(AB292/AVERAGE(Z290:AB290)*30.4,0)</f>
        <v>30.0943885944069</v>
      </c>
    </row>
    <row r="297" customFormat="false" ht="15" hidden="false" customHeight="false" outlineLevel="0" collapsed="false">
      <c r="A297" s="22" t="s">
        <v>746</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row>
    <row r="298" customFormat="false" ht="15" hidden="false" customHeight="false" outlineLevel="0" collapsed="false">
      <c r="A298" s="28" t="s">
        <v>331</v>
      </c>
      <c r="B298" s="58" t="s">
        <v>49</v>
      </c>
      <c r="C298" s="59" t="n">
        <f aca="false">SUM(E298:P298)</f>
        <v>0</v>
      </c>
      <c r="D298" s="59" t="n">
        <f aca="false">SUM(Q298:AB298)</f>
        <v>0</v>
      </c>
      <c r="E298" s="71" t="n">
        <f aca="false">0</f>
        <v>0</v>
      </c>
      <c r="F298" s="71" t="n">
        <f aca="false">0</f>
        <v>0</v>
      </c>
      <c r="G298" s="71" t="n">
        <f aca="false">0</f>
        <v>0</v>
      </c>
      <c r="H298" s="71" t="n">
        <f aca="false">0</f>
        <v>0</v>
      </c>
      <c r="I298" s="71" t="n">
        <f aca="false">0</f>
        <v>0</v>
      </c>
      <c r="J298" s="71" t="n">
        <f aca="false">0</f>
        <v>0</v>
      </c>
      <c r="K298" s="71" t="n">
        <f aca="false">0</f>
        <v>0</v>
      </c>
      <c r="L298" s="71" t="n">
        <f aca="false">0</f>
        <v>0</v>
      </c>
      <c r="M298" s="71" t="n">
        <f aca="false">0</f>
        <v>0</v>
      </c>
      <c r="N298" s="71" t="n">
        <f aca="false">0</f>
        <v>0</v>
      </c>
      <c r="O298" s="71" t="n">
        <f aca="false">0</f>
        <v>0</v>
      </c>
      <c r="P298" s="71" t="n">
        <f aca="false">0</f>
        <v>0</v>
      </c>
      <c r="Q298" s="71" t="n">
        <f aca="false">0</f>
        <v>0</v>
      </c>
      <c r="R298" s="71" t="n">
        <f aca="false">0</f>
        <v>0</v>
      </c>
      <c r="S298" s="71" t="n">
        <f aca="false">0</f>
        <v>0</v>
      </c>
      <c r="T298" s="71" t="n">
        <f aca="false">0</f>
        <v>0</v>
      </c>
      <c r="U298" s="71" t="n">
        <f aca="false">0</f>
        <v>0</v>
      </c>
      <c r="V298" s="71" t="n">
        <f aca="false">0</f>
        <v>0</v>
      </c>
      <c r="W298" s="71" t="n">
        <f aca="false">0</f>
        <v>0</v>
      </c>
      <c r="X298" s="71" t="n">
        <f aca="false">0</f>
        <v>0</v>
      </c>
      <c r="Y298" s="71" t="n">
        <f aca="false">0</f>
        <v>0</v>
      </c>
      <c r="Z298" s="71" t="n">
        <f aca="false">0</f>
        <v>0</v>
      </c>
      <c r="AA298" s="71" t="n">
        <f aca="false">0</f>
        <v>0</v>
      </c>
      <c r="AB298" s="71" t="n">
        <f aca="false">0</f>
        <v>0</v>
      </c>
    </row>
    <row r="299" customFormat="false" ht="15" hidden="false" customHeight="false" outlineLevel="0" collapsed="false">
      <c r="A299" s="28" t="s">
        <v>700</v>
      </c>
      <c r="B299" s="58" t="s">
        <v>51</v>
      </c>
      <c r="C299" s="59" t="n">
        <f aca="false">SUM(E299:P299)</f>
        <v>96000</v>
      </c>
      <c r="D299" s="59" t="n">
        <f aca="false">SUM(Q299:AB299)</f>
        <v>0</v>
      </c>
      <c r="E299" s="60" t="n">
        <f aca="false">Projects!E108</f>
        <v>0</v>
      </c>
      <c r="F299" s="60" t="n">
        <f aca="false">Projects!F108</f>
        <v>0</v>
      </c>
      <c r="G299" s="60" t="n">
        <f aca="false">Projects!G108</f>
        <v>0</v>
      </c>
      <c r="H299" s="60" t="n">
        <f aca="false">Projects!H108</f>
        <v>0</v>
      </c>
      <c r="I299" s="60" t="n">
        <f aca="false">Projects!I108</f>
        <v>7070</v>
      </c>
      <c r="J299" s="60" t="n">
        <f aca="false">Projects!J108</f>
        <v>18120</v>
      </c>
      <c r="K299" s="60" t="n">
        <f aca="false">Projects!K108</f>
        <v>19810</v>
      </c>
      <c r="L299" s="60" t="n">
        <f aca="false">Projects!L108</f>
        <v>24973.33</v>
      </c>
      <c r="M299" s="60" t="n">
        <f aca="false">Projects!M108</f>
        <v>18590.4795238095</v>
      </c>
      <c r="N299" s="60" t="n">
        <f aca="false">Projects!N108</f>
        <v>7436.19047619049</v>
      </c>
      <c r="O299" s="60" t="n">
        <f aca="false">Projects!O108</f>
        <v>0</v>
      </c>
      <c r="P299" s="60" t="n">
        <f aca="false">Projects!P108</f>
        <v>0</v>
      </c>
      <c r="Q299" s="60" t="n">
        <f aca="false">Projects!Q108</f>
        <v>0</v>
      </c>
      <c r="R299" s="60" t="n">
        <f aca="false">Projects!R108</f>
        <v>0</v>
      </c>
      <c r="S299" s="60" t="n">
        <f aca="false">Projects!S108</f>
        <v>0</v>
      </c>
      <c r="T299" s="60" t="n">
        <f aca="false">Projects!T108</f>
        <v>0</v>
      </c>
      <c r="U299" s="60" t="n">
        <f aca="false">Projects!U108</f>
        <v>0</v>
      </c>
      <c r="V299" s="60" t="n">
        <f aca="false">Projects!V108</f>
        <v>0</v>
      </c>
      <c r="W299" s="60" t="n">
        <f aca="false">Projects!W108</f>
        <v>0</v>
      </c>
      <c r="X299" s="60" t="n">
        <f aca="false">Projects!X108</f>
        <v>0</v>
      </c>
      <c r="Y299" s="60" t="n">
        <f aca="false">Projects!Y108</f>
        <v>0</v>
      </c>
      <c r="Z299" s="60" t="n">
        <f aca="false">Projects!Z108</f>
        <v>0</v>
      </c>
      <c r="AA299" s="60" t="n">
        <f aca="false">Projects!AA108</f>
        <v>0</v>
      </c>
      <c r="AB299" s="60" t="n">
        <f aca="false">Projects!AB108</f>
        <v>0</v>
      </c>
    </row>
    <row r="300" customFormat="false" ht="15" hidden="false" customHeight="false" outlineLevel="0" collapsed="false">
      <c r="A300" s="28" t="s">
        <v>333</v>
      </c>
      <c r="B300" s="58" t="s">
        <v>53</v>
      </c>
      <c r="C300" s="59" t="n">
        <f aca="false">SUM(E300:P300)</f>
        <v>0</v>
      </c>
      <c r="D300" s="59" t="n">
        <f aca="false">SUM(Q300:AB300)</f>
        <v>0</v>
      </c>
      <c r="E300" s="71" t="n">
        <f aca="false">0</f>
        <v>0</v>
      </c>
      <c r="F300" s="71" t="n">
        <f aca="false">0</f>
        <v>0</v>
      </c>
      <c r="G300" s="71" t="n">
        <f aca="false">0</f>
        <v>0</v>
      </c>
      <c r="H300" s="71" t="n">
        <f aca="false">0</f>
        <v>0</v>
      </c>
      <c r="I300" s="71" t="n">
        <f aca="false">0</f>
        <v>0</v>
      </c>
      <c r="J300" s="71" t="n">
        <f aca="false">0</f>
        <v>0</v>
      </c>
      <c r="K300" s="71" t="n">
        <f aca="false">0</f>
        <v>0</v>
      </c>
      <c r="L300" s="71" t="n">
        <f aca="false">0</f>
        <v>0</v>
      </c>
      <c r="M300" s="71" t="n">
        <f aca="false">0</f>
        <v>0</v>
      </c>
      <c r="N300" s="71" t="n">
        <f aca="false">0</f>
        <v>0</v>
      </c>
      <c r="O300" s="71" t="n">
        <f aca="false">0</f>
        <v>0</v>
      </c>
      <c r="P300" s="71" t="n">
        <f aca="false">0</f>
        <v>0</v>
      </c>
      <c r="Q300" s="71" t="n">
        <f aca="false">0</f>
        <v>0</v>
      </c>
      <c r="R300" s="71" t="n">
        <f aca="false">0</f>
        <v>0</v>
      </c>
      <c r="S300" s="71" t="n">
        <f aca="false">0</f>
        <v>0</v>
      </c>
      <c r="T300" s="71" t="n">
        <f aca="false">0</f>
        <v>0</v>
      </c>
      <c r="U300" s="71" t="n">
        <f aca="false">0</f>
        <v>0</v>
      </c>
      <c r="V300" s="71" t="n">
        <f aca="false">0</f>
        <v>0</v>
      </c>
      <c r="W300" s="71" t="n">
        <f aca="false">0</f>
        <v>0</v>
      </c>
      <c r="X300" s="71" t="n">
        <f aca="false">0</f>
        <v>0</v>
      </c>
      <c r="Y300" s="71" t="n">
        <f aca="false">0</f>
        <v>0</v>
      </c>
      <c r="Z300" s="71" t="n">
        <f aca="false">0</f>
        <v>0</v>
      </c>
      <c r="AA300" s="71" t="n">
        <f aca="false">0</f>
        <v>0</v>
      </c>
      <c r="AB300" s="71" t="n">
        <f aca="false">0</f>
        <v>0</v>
      </c>
    </row>
    <row r="301" customFormat="false" ht="15" hidden="false" customHeight="false" outlineLevel="0" collapsed="false">
      <c r="A301" s="28" t="s">
        <v>334</v>
      </c>
      <c r="B301" s="58" t="s">
        <v>53</v>
      </c>
      <c r="C301" s="59" t="n">
        <f aca="false">SUM(E301:P301)</f>
        <v>0</v>
      </c>
      <c r="D301" s="59" t="n">
        <f aca="false">SUM(Q301:AB301)</f>
        <v>0</v>
      </c>
      <c r="E301" s="71" t="n">
        <f aca="false">0</f>
        <v>0</v>
      </c>
      <c r="F301" s="71" t="n">
        <f aca="false">0</f>
        <v>0</v>
      </c>
      <c r="G301" s="71" t="n">
        <f aca="false">0</f>
        <v>0</v>
      </c>
      <c r="H301" s="71" t="n">
        <f aca="false">0</f>
        <v>0</v>
      </c>
      <c r="I301" s="71" t="n">
        <f aca="false">0</f>
        <v>0</v>
      </c>
      <c r="J301" s="71" t="n">
        <f aca="false">0</f>
        <v>0</v>
      </c>
      <c r="K301" s="71" t="n">
        <f aca="false">0</f>
        <v>0</v>
      </c>
      <c r="L301" s="71" t="n">
        <f aca="false">0</f>
        <v>0</v>
      </c>
      <c r="M301" s="71" t="n">
        <f aca="false">0</f>
        <v>0</v>
      </c>
      <c r="N301" s="71" t="n">
        <f aca="false">0</f>
        <v>0</v>
      </c>
      <c r="O301" s="71" t="n">
        <f aca="false">0</f>
        <v>0</v>
      </c>
      <c r="P301" s="71" t="n">
        <f aca="false">0</f>
        <v>0</v>
      </c>
      <c r="Q301" s="71" t="n">
        <f aca="false">0</f>
        <v>0</v>
      </c>
      <c r="R301" s="71" t="n">
        <f aca="false">0</f>
        <v>0</v>
      </c>
      <c r="S301" s="71" t="n">
        <f aca="false">0</f>
        <v>0</v>
      </c>
      <c r="T301" s="71" t="n">
        <f aca="false">0</f>
        <v>0</v>
      </c>
      <c r="U301" s="71" t="n">
        <f aca="false">0</f>
        <v>0</v>
      </c>
      <c r="V301" s="71" t="n">
        <f aca="false">0</f>
        <v>0</v>
      </c>
      <c r="W301" s="71" t="n">
        <f aca="false">0</f>
        <v>0</v>
      </c>
      <c r="X301" s="71" t="n">
        <f aca="false">0</f>
        <v>0</v>
      </c>
      <c r="Y301" s="71" t="n">
        <f aca="false">0</f>
        <v>0</v>
      </c>
      <c r="Z301" s="71" t="n">
        <f aca="false">0</f>
        <v>0</v>
      </c>
      <c r="AA301" s="71" t="n">
        <f aca="false">0</f>
        <v>0</v>
      </c>
      <c r="AB301" s="71" t="n">
        <f aca="false">0</f>
        <v>0</v>
      </c>
    </row>
    <row r="302" customFormat="false" ht="15" hidden="false" customHeight="false" outlineLevel="0" collapsed="false">
      <c r="A302" s="28" t="s">
        <v>701</v>
      </c>
      <c r="B302" s="58" t="s">
        <v>51</v>
      </c>
      <c r="C302" s="59" t="n">
        <f aca="false">SUM(E302:P302)</f>
        <v>0</v>
      </c>
      <c r="D302" s="59" t="n">
        <f aca="false">SUM(Q302:AB302)</f>
        <v>0</v>
      </c>
      <c r="E302" s="71" t="n">
        <f aca="false">0</f>
        <v>0</v>
      </c>
      <c r="F302" s="71" t="n">
        <f aca="false">0</f>
        <v>0</v>
      </c>
      <c r="G302" s="71" t="n">
        <f aca="false">0</f>
        <v>0</v>
      </c>
      <c r="H302" s="71" t="n">
        <f aca="false">0</f>
        <v>0</v>
      </c>
      <c r="I302" s="71" t="n">
        <f aca="false">0</f>
        <v>0</v>
      </c>
      <c r="J302" s="71" t="n">
        <f aca="false">0</f>
        <v>0</v>
      </c>
      <c r="K302" s="71" t="n">
        <f aca="false">0</f>
        <v>0</v>
      </c>
      <c r="L302" s="71" t="n">
        <f aca="false">0</f>
        <v>0</v>
      </c>
      <c r="M302" s="71" t="n">
        <f aca="false">0</f>
        <v>0</v>
      </c>
      <c r="N302" s="71" t="n">
        <f aca="false">0</f>
        <v>0</v>
      </c>
      <c r="O302" s="71" t="n">
        <f aca="false">0</f>
        <v>0</v>
      </c>
      <c r="P302" s="71" t="n">
        <f aca="false">0</f>
        <v>0</v>
      </c>
      <c r="Q302" s="71" t="n">
        <f aca="false">0</f>
        <v>0</v>
      </c>
      <c r="R302" s="71" t="n">
        <f aca="false">0</f>
        <v>0</v>
      </c>
      <c r="S302" s="71" t="n">
        <f aca="false">0</f>
        <v>0</v>
      </c>
      <c r="T302" s="71" t="n">
        <f aca="false">0</f>
        <v>0</v>
      </c>
      <c r="U302" s="71" t="n">
        <f aca="false">0</f>
        <v>0</v>
      </c>
      <c r="V302" s="71" t="n">
        <f aca="false">0</f>
        <v>0</v>
      </c>
      <c r="W302" s="71" t="n">
        <f aca="false">0</f>
        <v>0</v>
      </c>
      <c r="X302" s="71" t="n">
        <f aca="false">0</f>
        <v>0</v>
      </c>
      <c r="Y302" s="71" t="n">
        <f aca="false">0</f>
        <v>0</v>
      </c>
      <c r="Z302" s="71" t="n">
        <f aca="false">0</f>
        <v>0</v>
      </c>
      <c r="AA302" s="71" t="n">
        <f aca="false">0</f>
        <v>0</v>
      </c>
      <c r="AB302" s="71" t="n">
        <f aca="false">0</f>
        <v>0</v>
      </c>
    </row>
    <row r="303" customFormat="false" ht="15" hidden="false" customHeight="false" outlineLevel="0" collapsed="false">
      <c r="A303" s="68" t="s">
        <v>743</v>
      </c>
      <c r="B303" s="69"/>
      <c r="C303" s="70" t="n">
        <f aca="false">SUM(E303:P303)</f>
        <v>96000</v>
      </c>
      <c r="D303" s="70" t="n">
        <f aca="false">SUM(Q303:AB303)</f>
        <v>0</v>
      </c>
      <c r="E303" s="70" t="n">
        <f aca="false">SUM(E298:E302)</f>
        <v>0</v>
      </c>
      <c r="F303" s="70" t="n">
        <f aca="false">SUM(F298:F302)</f>
        <v>0</v>
      </c>
      <c r="G303" s="70" t="n">
        <f aca="false">SUM(G298:G302)</f>
        <v>0</v>
      </c>
      <c r="H303" s="70" t="n">
        <f aca="false">SUM(H298:H302)</f>
        <v>0</v>
      </c>
      <c r="I303" s="70" t="n">
        <f aca="false">SUM(I298:I302)</f>
        <v>7070</v>
      </c>
      <c r="J303" s="70" t="n">
        <f aca="false">SUM(J298:J302)</f>
        <v>18120</v>
      </c>
      <c r="K303" s="70" t="n">
        <f aca="false">SUM(K298:K302)</f>
        <v>19810</v>
      </c>
      <c r="L303" s="70" t="n">
        <f aca="false">SUM(L298:L302)</f>
        <v>24973.33</v>
      </c>
      <c r="M303" s="70" t="n">
        <f aca="false">SUM(M298:M302)</f>
        <v>18590.4795238095</v>
      </c>
      <c r="N303" s="70" t="n">
        <f aca="false">SUM(N298:N302)</f>
        <v>7436.19047619049</v>
      </c>
      <c r="O303" s="70" t="n">
        <f aca="false">SUM(O298:O302)</f>
        <v>0</v>
      </c>
      <c r="P303" s="70" t="n">
        <f aca="false">SUM(P298:P302)</f>
        <v>0</v>
      </c>
      <c r="Q303" s="70" t="n">
        <f aca="false">SUM(Q298:Q302)</f>
        <v>0</v>
      </c>
      <c r="R303" s="70" t="n">
        <f aca="false">SUM(R298:R302)</f>
        <v>0</v>
      </c>
      <c r="S303" s="70" t="n">
        <f aca="false">SUM(S298:S302)</f>
        <v>0</v>
      </c>
      <c r="T303" s="70" t="n">
        <f aca="false">SUM(T298:T302)</f>
        <v>0</v>
      </c>
      <c r="U303" s="70" t="n">
        <f aca="false">SUM(U298:U302)</f>
        <v>0</v>
      </c>
      <c r="V303" s="70" t="n">
        <f aca="false">SUM(V298:V302)</f>
        <v>0</v>
      </c>
      <c r="W303" s="70" t="n">
        <f aca="false">SUM(W298:W302)</f>
        <v>0</v>
      </c>
      <c r="X303" s="70" t="n">
        <f aca="false">SUM(X298:X302)</f>
        <v>0</v>
      </c>
      <c r="Y303" s="70" t="n">
        <f aca="false">SUM(Y298:Y302)</f>
        <v>0</v>
      </c>
      <c r="Z303" s="70" t="n">
        <f aca="false">SUM(Z298:Z302)</f>
        <v>0</v>
      </c>
      <c r="AA303" s="70" t="n">
        <f aca="false">SUM(AA298:AA302)</f>
        <v>0</v>
      </c>
      <c r="AB303" s="70" t="n">
        <f aca="false">SUM(AB298:AB302)</f>
        <v>0</v>
      </c>
    </row>
    <row r="304" customFormat="false" ht="15" hidden="false" customHeight="false" outlineLevel="0" collapsed="false">
      <c r="A304" s="28" t="s">
        <v>703</v>
      </c>
      <c r="B304" s="58"/>
      <c r="C304" s="59" t="n">
        <f aca="false">SUM(E304:P304)</f>
        <v>96000</v>
      </c>
      <c r="D304" s="59" t="n">
        <f aca="false">SUM(Q304:AB304)</f>
        <v>0</v>
      </c>
      <c r="E304" s="71" t="n">
        <f aca="false">E303/1</f>
        <v>0</v>
      </c>
      <c r="F304" s="71" t="n">
        <f aca="false">F303/1</f>
        <v>0</v>
      </c>
      <c r="G304" s="71" t="n">
        <f aca="false">G303/1</f>
        <v>0</v>
      </c>
      <c r="H304" s="71" t="n">
        <f aca="false">H303/1</f>
        <v>0</v>
      </c>
      <c r="I304" s="71" t="n">
        <f aca="false">I303/1</f>
        <v>7070</v>
      </c>
      <c r="J304" s="71" t="n">
        <f aca="false">J303/1</f>
        <v>18120</v>
      </c>
      <c r="K304" s="71" t="n">
        <f aca="false">K303/1</f>
        <v>19810</v>
      </c>
      <c r="L304" s="71" t="n">
        <f aca="false">L303/1</f>
        <v>24973.33</v>
      </c>
      <c r="M304" s="71" t="n">
        <f aca="false">M303/1</f>
        <v>18590.4795238095</v>
      </c>
      <c r="N304" s="71" t="n">
        <f aca="false">N303/1</f>
        <v>7436.19047619049</v>
      </c>
      <c r="O304" s="71" t="n">
        <f aca="false">O303/1</f>
        <v>0</v>
      </c>
      <c r="P304" s="71" t="n">
        <f aca="false">P303/1</f>
        <v>0</v>
      </c>
      <c r="Q304" s="71" t="n">
        <f aca="false">Q303/1</f>
        <v>0</v>
      </c>
      <c r="R304" s="71" t="n">
        <f aca="false">R303/1</f>
        <v>0</v>
      </c>
      <c r="S304" s="71" t="n">
        <f aca="false">S303/1</f>
        <v>0</v>
      </c>
      <c r="T304" s="71" t="n">
        <f aca="false">T303/1</f>
        <v>0</v>
      </c>
      <c r="U304" s="71" t="n">
        <f aca="false">U303/1</f>
        <v>0</v>
      </c>
      <c r="V304" s="71" t="n">
        <f aca="false">V303/1</f>
        <v>0</v>
      </c>
      <c r="W304" s="71" t="n">
        <f aca="false">W303/1</f>
        <v>0</v>
      </c>
      <c r="X304" s="71" t="n">
        <f aca="false">X303/1</f>
        <v>0</v>
      </c>
      <c r="Y304" s="71" t="n">
        <f aca="false">Y303/1</f>
        <v>0</v>
      </c>
      <c r="Z304" s="71" t="n">
        <f aca="false">Z303/1</f>
        <v>0</v>
      </c>
      <c r="AA304" s="71" t="n">
        <f aca="false">AA303/1</f>
        <v>0</v>
      </c>
      <c r="AB304" s="71" t="n">
        <f aca="false">AB303/1</f>
        <v>0</v>
      </c>
    </row>
    <row r="305" customFormat="false" ht="15" hidden="false" customHeight="false" outlineLevel="0" collapsed="false">
      <c r="A305" s="28" t="s">
        <v>704</v>
      </c>
      <c r="B305" s="58" t="s">
        <v>51</v>
      </c>
      <c r="C305" s="59" t="n">
        <f aca="false">SUM(E305:P305)</f>
        <v>0</v>
      </c>
      <c r="D305" s="59" t="n">
        <f aca="false">SUM(Q305:AB305)</f>
        <v>0</v>
      </c>
      <c r="E305" s="71" t="n">
        <f aca="false">0</f>
        <v>0</v>
      </c>
      <c r="F305" s="71" t="n">
        <f aca="false">0</f>
        <v>0</v>
      </c>
      <c r="G305" s="71" t="n">
        <f aca="false">0</f>
        <v>0</v>
      </c>
      <c r="H305" s="71" t="n">
        <f aca="false">0</f>
        <v>0</v>
      </c>
      <c r="I305" s="71" t="n">
        <f aca="false">0</f>
        <v>0</v>
      </c>
      <c r="J305" s="71" t="n">
        <f aca="false">0</f>
        <v>0</v>
      </c>
      <c r="K305" s="71" t="n">
        <f aca="false">0</f>
        <v>0</v>
      </c>
      <c r="L305" s="71" t="n">
        <f aca="false">0</f>
        <v>0</v>
      </c>
      <c r="M305" s="71" t="n">
        <f aca="false">0</f>
        <v>0</v>
      </c>
      <c r="N305" s="71" t="n">
        <f aca="false">0</f>
        <v>0</v>
      </c>
      <c r="O305" s="71" t="n">
        <f aca="false">0</f>
        <v>0</v>
      </c>
      <c r="P305" s="71" t="n">
        <f aca="false">0</f>
        <v>0</v>
      </c>
      <c r="Q305" s="71" t="n">
        <f aca="false">0</f>
        <v>0</v>
      </c>
      <c r="R305" s="71" t="n">
        <f aca="false">0</f>
        <v>0</v>
      </c>
      <c r="S305" s="71" t="n">
        <f aca="false">0</f>
        <v>0</v>
      </c>
      <c r="T305" s="71" t="n">
        <f aca="false">0</f>
        <v>0</v>
      </c>
      <c r="U305" s="71" t="n">
        <f aca="false">0</f>
        <v>0</v>
      </c>
      <c r="V305" s="71" t="n">
        <f aca="false">0</f>
        <v>0</v>
      </c>
      <c r="W305" s="71" t="n">
        <f aca="false">0</f>
        <v>0</v>
      </c>
      <c r="X305" s="71" t="n">
        <f aca="false">0</f>
        <v>0</v>
      </c>
      <c r="Y305" s="71" t="n">
        <f aca="false">0</f>
        <v>0</v>
      </c>
      <c r="Z305" s="71" t="n">
        <f aca="false">0</f>
        <v>0</v>
      </c>
      <c r="AA305" s="71" t="n">
        <f aca="false">0</f>
        <v>0</v>
      </c>
      <c r="AB305" s="71" t="n">
        <f aca="false">0</f>
        <v>0</v>
      </c>
    </row>
    <row r="306" customFormat="false" ht="15" hidden="false" customHeight="false" outlineLevel="0" collapsed="false">
      <c r="A306" s="68" t="s">
        <v>705</v>
      </c>
      <c r="B306" s="69" t="s">
        <v>706</v>
      </c>
      <c r="C306" s="70" t="n">
        <f aca="false">SUM(E306:P306)</f>
        <v>96000</v>
      </c>
      <c r="D306" s="70" t="n">
        <f aca="false">SUM(Q306:AB306)</f>
        <v>0</v>
      </c>
      <c r="E306" s="70" t="n">
        <f aca="false">E304-E305</f>
        <v>0</v>
      </c>
      <c r="F306" s="70" t="n">
        <f aca="false">F304-F305</f>
        <v>0</v>
      </c>
      <c r="G306" s="70" t="n">
        <f aca="false">G304-G305</f>
        <v>0</v>
      </c>
      <c r="H306" s="70" t="n">
        <f aca="false">H304-H305</f>
        <v>0</v>
      </c>
      <c r="I306" s="70" t="n">
        <f aca="false">I304-I305</f>
        <v>7070</v>
      </c>
      <c r="J306" s="70" t="n">
        <f aca="false">J304-J305</f>
        <v>18120</v>
      </c>
      <c r="K306" s="70" t="n">
        <f aca="false">K304-K305</f>
        <v>19810</v>
      </c>
      <c r="L306" s="70" t="n">
        <f aca="false">L304-L305</f>
        <v>24973.33</v>
      </c>
      <c r="M306" s="70" t="n">
        <f aca="false">M304-M305</f>
        <v>18590.4795238095</v>
      </c>
      <c r="N306" s="70" t="n">
        <f aca="false">N304-N305</f>
        <v>7436.19047619049</v>
      </c>
      <c r="O306" s="70" t="n">
        <f aca="false">O304-O305</f>
        <v>0</v>
      </c>
      <c r="P306" s="70" t="n">
        <f aca="false">P304-P305</f>
        <v>0</v>
      </c>
      <c r="Q306" s="70" t="n">
        <f aca="false">Q304-Q305</f>
        <v>0</v>
      </c>
      <c r="R306" s="70" t="n">
        <f aca="false">R304-R305</f>
        <v>0</v>
      </c>
      <c r="S306" s="70" t="n">
        <f aca="false">S304-S305</f>
        <v>0</v>
      </c>
      <c r="T306" s="70" t="n">
        <f aca="false">T304-T305</f>
        <v>0</v>
      </c>
      <c r="U306" s="70" t="n">
        <f aca="false">U304-U305</f>
        <v>0</v>
      </c>
      <c r="V306" s="70" t="n">
        <f aca="false">V304-V305</f>
        <v>0</v>
      </c>
      <c r="W306" s="70" t="n">
        <f aca="false">W304-W305</f>
        <v>0</v>
      </c>
      <c r="X306" s="70" t="n">
        <f aca="false">X304-X305</f>
        <v>0</v>
      </c>
      <c r="Y306" s="70" t="n">
        <f aca="false">Y304-Y305</f>
        <v>0</v>
      </c>
      <c r="Z306" s="70" t="n">
        <f aca="false">Z304-Z305</f>
        <v>0</v>
      </c>
      <c r="AA306" s="70" t="n">
        <f aca="false">AA304-AA305</f>
        <v>0</v>
      </c>
      <c r="AB306" s="70" t="n">
        <f aca="false">AB304-AB305</f>
        <v>0</v>
      </c>
    </row>
    <row r="307" customFormat="false" ht="15" hidden="false" customHeight="false" outlineLevel="0" collapsed="false">
      <c r="A307" s="28" t="s">
        <v>707</v>
      </c>
      <c r="B307" s="58" t="s">
        <v>708</v>
      </c>
      <c r="C307" s="66" t="n">
        <f aca="false">SUM(E307:P307)</f>
        <v>990</v>
      </c>
      <c r="D307" s="66" t="n">
        <f aca="false">SUM(Q307:AB307)</f>
        <v>0</v>
      </c>
      <c r="E307" s="67" t="n">
        <f aca="false">Projects!E102</f>
        <v>0</v>
      </c>
      <c r="F307" s="67" t="n">
        <f aca="false">Projects!F102</f>
        <v>0</v>
      </c>
      <c r="G307" s="67" t="n">
        <f aca="false">Projects!G102</f>
        <v>0</v>
      </c>
      <c r="H307" s="67" t="n">
        <f aca="false">Projects!H102</f>
        <v>0</v>
      </c>
      <c r="I307" s="67" t="n">
        <f aca="false">Projects!I102</f>
        <v>70.7</v>
      </c>
      <c r="J307" s="67" t="n">
        <f aca="false">Projects!J102</f>
        <v>181.2</v>
      </c>
      <c r="K307" s="67" t="n">
        <f aca="false">Projects!K102</f>
        <v>198.1</v>
      </c>
      <c r="L307" s="67" t="n">
        <f aca="false">Projects!L102</f>
        <v>271.6</v>
      </c>
      <c r="M307" s="67" t="n">
        <f aca="false">Projects!M102</f>
        <v>191.714285714286</v>
      </c>
      <c r="N307" s="67" t="n">
        <f aca="false">Projects!N102</f>
        <v>76.6857142857144</v>
      </c>
      <c r="O307" s="67" t="n">
        <f aca="false">Projects!O102</f>
        <v>0</v>
      </c>
      <c r="P307" s="67" t="n">
        <f aca="false">Projects!P102</f>
        <v>0</v>
      </c>
      <c r="Q307" s="67" t="n">
        <f aca="false">Projects!Q102</f>
        <v>0</v>
      </c>
      <c r="R307" s="67" t="n">
        <f aca="false">Projects!R102</f>
        <v>0</v>
      </c>
      <c r="S307" s="67" t="n">
        <f aca="false">Projects!S102</f>
        <v>0</v>
      </c>
      <c r="T307" s="67" t="n">
        <f aca="false">Projects!T102</f>
        <v>0</v>
      </c>
      <c r="U307" s="67" t="n">
        <f aca="false">Projects!U102</f>
        <v>0</v>
      </c>
      <c r="V307" s="67" t="n">
        <f aca="false">Projects!V102</f>
        <v>0</v>
      </c>
      <c r="W307" s="67" t="n">
        <f aca="false">Projects!W102</f>
        <v>0</v>
      </c>
      <c r="X307" s="67" t="n">
        <f aca="false">Projects!X102</f>
        <v>0</v>
      </c>
      <c r="Y307" s="67" t="n">
        <f aca="false">Projects!Y102</f>
        <v>0</v>
      </c>
      <c r="Z307" s="67" t="n">
        <f aca="false">Projects!Z102</f>
        <v>0</v>
      </c>
      <c r="AA307" s="67" t="n">
        <f aca="false">Projects!AA102</f>
        <v>0</v>
      </c>
      <c r="AB307" s="67" t="n">
        <f aca="false">Projects!AB102</f>
        <v>0</v>
      </c>
    </row>
    <row r="308" customFormat="false" ht="15" hidden="false" customHeight="false" outlineLevel="0" collapsed="false">
      <c r="A308" s="28" t="s">
        <v>709</v>
      </c>
      <c r="B308" s="58" t="s">
        <v>710</v>
      </c>
      <c r="C308" s="59" t="n">
        <f aca="false">SUM(E308:P308)</f>
        <v>52387.2729113924</v>
      </c>
      <c r="D308" s="59" t="n">
        <f aca="false">SUM(Q308:AB308)</f>
        <v>0</v>
      </c>
      <c r="E308" s="60" t="n">
        <f aca="false">Projects!E102*Utilisation!E91</f>
        <v>0</v>
      </c>
      <c r="F308" s="60" t="n">
        <f aca="false">Projects!F102*Utilisation!F91</f>
        <v>0</v>
      </c>
      <c r="G308" s="60" t="n">
        <f aca="false">Projects!G102*Utilisation!G91</f>
        <v>0</v>
      </c>
      <c r="H308" s="60" t="n">
        <f aca="false">Projects!H102*Utilisation!H91</f>
        <v>0</v>
      </c>
      <c r="I308" s="60" t="n">
        <f aca="false">Projects!I102*Utilisation!I91</f>
        <v>3741.1921159954</v>
      </c>
      <c r="J308" s="60" t="n">
        <f aca="false">Projects!J102*Utilisation!J91</f>
        <v>9588.45843590334</v>
      </c>
      <c r="K308" s="60" t="n">
        <f aca="false">Projects!K102*Utilisation!K91</f>
        <v>10482.7462260069</v>
      </c>
      <c r="L308" s="60" t="n">
        <f aca="false">Projects!L102*Utilisation!L91</f>
        <v>14372.1043663982</v>
      </c>
      <c r="M308" s="60" t="n">
        <f aca="false">Projects!M102*Utilisation!M91</f>
        <v>10144.8369764919</v>
      </c>
      <c r="N308" s="60" t="n">
        <f aca="false">Projects!N102*Utilisation!N91</f>
        <v>4057.93479059675</v>
      </c>
      <c r="O308" s="60" t="n">
        <f aca="false">Projects!O102*Utilisation!O91</f>
        <v>0</v>
      </c>
      <c r="P308" s="60" t="n">
        <f aca="false">Projects!P102*Utilisation!P91</f>
        <v>0</v>
      </c>
      <c r="Q308" s="60" t="n">
        <f aca="false">Projects!Q102*Utilisation!Q91</f>
        <v>0</v>
      </c>
      <c r="R308" s="60" t="n">
        <f aca="false">Projects!R102*Utilisation!R91</f>
        <v>0</v>
      </c>
      <c r="S308" s="60" t="n">
        <f aca="false">Projects!S102*Utilisation!S91</f>
        <v>0</v>
      </c>
      <c r="T308" s="60" t="n">
        <f aca="false">Projects!T102*Utilisation!T91</f>
        <v>0</v>
      </c>
      <c r="U308" s="60" t="n">
        <f aca="false">Projects!U102*Utilisation!U91</f>
        <v>0</v>
      </c>
      <c r="V308" s="60" t="n">
        <f aca="false">Projects!V102*Utilisation!V91</f>
        <v>0</v>
      </c>
      <c r="W308" s="60" t="n">
        <f aca="false">Projects!W102*Utilisation!W91</f>
        <v>0</v>
      </c>
      <c r="X308" s="60" t="n">
        <f aca="false">Projects!X102*Utilisation!X91</f>
        <v>0</v>
      </c>
      <c r="Y308" s="60" t="n">
        <f aca="false">Projects!Y102*Utilisation!Y91</f>
        <v>0</v>
      </c>
      <c r="Z308" s="60" t="n">
        <f aca="false">Projects!Z102*Utilisation!Z91</f>
        <v>0</v>
      </c>
      <c r="AA308" s="60" t="n">
        <f aca="false">Projects!AA102*Utilisation!AA91</f>
        <v>0</v>
      </c>
      <c r="AB308" s="60" t="n">
        <f aca="false">Projects!AB102*Utilisation!AB91</f>
        <v>0</v>
      </c>
    </row>
    <row r="309" customFormat="false" ht="15" hidden="false" customHeight="false" outlineLevel="0" collapsed="false">
      <c r="A309" s="28" t="s">
        <v>711</v>
      </c>
      <c r="B309" s="58" t="s">
        <v>53</v>
      </c>
      <c r="C309" s="59" t="n">
        <f aca="false">SUM(E309:P309)</f>
        <v>0</v>
      </c>
      <c r="D309" s="59" t="n">
        <f aca="false">SUM(Q309:AB309)</f>
        <v>0</v>
      </c>
      <c r="E309" s="71" t="n">
        <f aca="false">0</f>
        <v>0</v>
      </c>
      <c r="F309" s="71" t="n">
        <f aca="false">0</f>
        <v>0</v>
      </c>
      <c r="G309" s="71" t="n">
        <f aca="false">0</f>
        <v>0</v>
      </c>
      <c r="H309" s="71" t="n">
        <f aca="false">0</f>
        <v>0</v>
      </c>
      <c r="I309" s="71" t="n">
        <f aca="false">0</f>
        <v>0</v>
      </c>
      <c r="J309" s="71" t="n">
        <f aca="false">0</f>
        <v>0</v>
      </c>
      <c r="K309" s="71" t="n">
        <f aca="false">0</f>
        <v>0</v>
      </c>
      <c r="L309" s="71" t="n">
        <f aca="false">0</f>
        <v>0</v>
      </c>
      <c r="M309" s="71" t="n">
        <f aca="false">0</f>
        <v>0</v>
      </c>
      <c r="N309" s="71" t="n">
        <f aca="false">0</f>
        <v>0</v>
      </c>
      <c r="O309" s="71" t="n">
        <f aca="false">0</f>
        <v>0</v>
      </c>
      <c r="P309" s="71" t="n">
        <f aca="false">0</f>
        <v>0</v>
      </c>
      <c r="Q309" s="71" t="n">
        <f aca="false">0</f>
        <v>0</v>
      </c>
      <c r="R309" s="71" t="n">
        <f aca="false">0</f>
        <v>0</v>
      </c>
      <c r="S309" s="71" t="n">
        <f aca="false">0</f>
        <v>0</v>
      </c>
      <c r="T309" s="71" t="n">
        <f aca="false">0</f>
        <v>0</v>
      </c>
      <c r="U309" s="71" t="n">
        <f aca="false">0</f>
        <v>0</v>
      </c>
      <c r="V309" s="71" t="n">
        <f aca="false">0</f>
        <v>0</v>
      </c>
      <c r="W309" s="71" t="n">
        <f aca="false">0</f>
        <v>0</v>
      </c>
      <c r="X309" s="71" t="n">
        <f aca="false">0</f>
        <v>0</v>
      </c>
      <c r="Y309" s="71" t="n">
        <f aca="false">0</f>
        <v>0</v>
      </c>
      <c r="Z309" s="71" t="n">
        <f aca="false">0</f>
        <v>0</v>
      </c>
      <c r="AA309" s="71" t="n">
        <f aca="false">0</f>
        <v>0</v>
      </c>
      <c r="AB309" s="71" t="n">
        <f aca="false">0</f>
        <v>0</v>
      </c>
    </row>
    <row r="310" customFormat="false" ht="15" hidden="false" customHeight="false" outlineLevel="0" collapsed="false">
      <c r="A310" s="28" t="s">
        <v>712</v>
      </c>
      <c r="B310" s="58" t="s">
        <v>713</v>
      </c>
      <c r="C310" s="59" t="n">
        <f aca="false">SUM(E310:P310)</f>
        <v>96000</v>
      </c>
      <c r="D310" s="59" t="n">
        <f aca="false">SUM(Q310:AB310)</f>
        <v>0</v>
      </c>
      <c r="E310" s="60" t="n">
        <f aca="false">Projects!E110+E301+E309+E302</f>
        <v>0</v>
      </c>
      <c r="F310" s="60" t="n">
        <f aca="false">Projects!F110+F301+F309+F302</f>
        <v>0</v>
      </c>
      <c r="G310" s="60" t="n">
        <f aca="false">Projects!G110+G301+G309+G302</f>
        <v>0</v>
      </c>
      <c r="H310" s="60" t="n">
        <f aca="false">Projects!H110+H301+H309+H302</f>
        <v>0</v>
      </c>
      <c r="I310" s="60" t="n">
        <f aca="false">Projects!I110+I301+I309+I302</f>
        <v>28800</v>
      </c>
      <c r="J310" s="60" t="n">
        <f aca="false">Projects!J110+J301+J309+J302</f>
        <v>0</v>
      </c>
      <c r="K310" s="60" t="n">
        <f aca="false">Projects!K110+K301+K309+K302</f>
        <v>0</v>
      </c>
      <c r="L310" s="60" t="n">
        <f aca="false">Projects!L110+L301+L309+L302</f>
        <v>38400</v>
      </c>
      <c r="M310" s="60" t="n">
        <f aca="false">Projects!M110+M301+M309+M302</f>
        <v>0</v>
      </c>
      <c r="N310" s="60" t="n">
        <f aca="false">Projects!N110+N301+N309+N302</f>
        <v>28800</v>
      </c>
      <c r="O310" s="60" t="n">
        <f aca="false">Projects!O110+O301+O309+O302</f>
        <v>0</v>
      </c>
      <c r="P310" s="60" t="n">
        <f aca="false">Projects!P110+P301+P309+P302</f>
        <v>0</v>
      </c>
      <c r="Q310" s="60" t="n">
        <f aca="false">Projects!Q110+Q301+Q309+Q302</f>
        <v>0</v>
      </c>
      <c r="R310" s="60" t="n">
        <f aca="false">Projects!R110+R301+R309+R302</f>
        <v>0</v>
      </c>
      <c r="S310" s="60" t="n">
        <f aca="false">Projects!S110+S301+S309+S302</f>
        <v>0</v>
      </c>
      <c r="T310" s="60" t="n">
        <f aca="false">Projects!T110+T301+T309+T302</f>
        <v>0</v>
      </c>
      <c r="U310" s="60" t="n">
        <f aca="false">Projects!U110+U301+U309+U302</f>
        <v>0</v>
      </c>
      <c r="V310" s="60" t="n">
        <f aca="false">Projects!V110+V301+V309+V302</f>
        <v>0</v>
      </c>
      <c r="W310" s="60" t="n">
        <f aca="false">Projects!W110+W301+W309+W302</f>
        <v>0</v>
      </c>
      <c r="X310" s="60" t="n">
        <f aca="false">Projects!X110+X301+X309+X302</f>
        <v>0</v>
      </c>
      <c r="Y310" s="60" t="n">
        <f aca="false">Projects!Y110+Y301+Y309+Y302</f>
        <v>0</v>
      </c>
      <c r="Z310" s="60" t="n">
        <f aca="false">Projects!Z110+Z301+Z309+Z302</f>
        <v>0</v>
      </c>
      <c r="AA310" s="60" t="n">
        <f aca="false">Projects!AA110+AA301+AA309+AA302</f>
        <v>0</v>
      </c>
      <c r="AB310" s="60" t="n">
        <f aca="false">Projects!AB110+AB301+AB309+AB302</f>
        <v>0</v>
      </c>
    </row>
    <row r="311" customFormat="false" ht="15" hidden="false" customHeight="false" outlineLevel="0" collapsed="false">
      <c r="A311" s="28" t="s">
        <v>714</v>
      </c>
      <c r="B311" s="58" t="s">
        <v>715</v>
      </c>
      <c r="C311" s="59" t="n">
        <f aca="false">SUM(E311:P311)</f>
        <v>0</v>
      </c>
      <c r="D311" s="59" t="n">
        <f aca="false">SUM(Q311:AB311)</f>
        <v>0</v>
      </c>
      <c r="E311" s="60" t="n">
        <f aca="false">E310*Client_Register!$F$20</f>
        <v>0</v>
      </c>
      <c r="F311" s="60" t="n">
        <f aca="false">F310*Client_Register!$F$20</f>
        <v>0</v>
      </c>
      <c r="G311" s="60" t="n">
        <f aca="false">G310*Client_Register!$F$20</f>
        <v>0</v>
      </c>
      <c r="H311" s="60" t="n">
        <f aca="false">H310*Client_Register!$F$20</f>
        <v>0</v>
      </c>
      <c r="I311" s="60" t="n">
        <f aca="false">I310*Client_Register!$F$20</f>
        <v>0</v>
      </c>
      <c r="J311" s="60" t="n">
        <f aca="false">J310*Client_Register!$F$20</f>
        <v>0</v>
      </c>
      <c r="K311" s="60" t="n">
        <f aca="false">K310*Client_Register!$F$20</f>
        <v>0</v>
      </c>
      <c r="L311" s="60" t="n">
        <f aca="false">L310*Client_Register!$F$20</f>
        <v>0</v>
      </c>
      <c r="M311" s="60" t="n">
        <f aca="false">M310*Client_Register!$F$20</f>
        <v>0</v>
      </c>
      <c r="N311" s="60" t="n">
        <f aca="false">N310*Client_Register!$F$20</f>
        <v>0</v>
      </c>
      <c r="O311" s="60" t="n">
        <f aca="false">O310*Client_Register!$F$20</f>
        <v>0</v>
      </c>
      <c r="P311" s="60" t="n">
        <f aca="false">P310*Client_Register!$F$20</f>
        <v>0</v>
      </c>
      <c r="Q311" s="60" t="n">
        <f aca="false">Q310*Client_Register!$F$20</f>
        <v>0</v>
      </c>
      <c r="R311" s="60" t="n">
        <f aca="false">R310*Client_Register!$F$20</f>
        <v>0</v>
      </c>
      <c r="S311" s="60" t="n">
        <f aca="false">S310*Client_Register!$F$20</f>
        <v>0</v>
      </c>
      <c r="T311" s="60" t="n">
        <f aca="false">T310*Client_Register!$F$20</f>
        <v>0</v>
      </c>
      <c r="U311" s="60" t="n">
        <f aca="false">U310*Client_Register!$F$20</f>
        <v>0</v>
      </c>
      <c r="V311" s="60" t="n">
        <f aca="false">V310*Client_Register!$F$20</f>
        <v>0</v>
      </c>
      <c r="W311" s="60" t="n">
        <f aca="false">W310*Client_Register!$F$20</f>
        <v>0</v>
      </c>
      <c r="X311" s="60" t="n">
        <f aca="false">X310*Client_Register!$F$20</f>
        <v>0</v>
      </c>
      <c r="Y311" s="60" t="n">
        <f aca="false">Y310*Client_Register!$F$20</f>
        <v>0</v>
      </c>
      <c r="Z311" s="60" t="n">
        <f aca="false">Z310*Client_Register!$F$20</f>
        <v>0</v>
      </c>
      <c r="AA311" s="60" t="n">
        <f aca="false">AA310*Client_Register!$F$20</f>
        <v>0</v>
      </c>
      <c r="AB311" s="60" t="n">
        <f aca="false">AB310*Client_Register!$F$20</f>
        <v>0</v>
      </c>
    </row>
    <row r="312" customFormat="false" ht="15" hidden="false" customHeight="false" outlineLevel="0" collapsed="false">
      <c r="A312" s="68" t="s">
        <v>716</v>
      </c>
      <c r="B312" s="69"/>
      <c r="C312" s="70" t="n">
        <f aca="false">SUM(E312:P312)</f>
        <v>96000</v>
      </c>
      <c r="D312" s="70" t="n">
        <f aca="false">SUM(Q312:AB312)</f>
        <v>0</v>
      </c>
      <c r="E312" s="70" t="n">
        <f aca="false">E310+E311</f>
        <v>0</v>
      </c>
      <c r="F312" s="70" t="n">
        <f aca="false">F310+F311</f>
        <v>0</v>
      </c>
      <c r="G312" s="70" t="n">
        <f aca="false">G310+G311</f>
        <v>0</v>
      </c>
      <c r="H312" s="70" t="n">
        <f aca="false">H310+H311</f>
        <v>0</v>
      </c>
      <c r="I312" s="70" t="n">
        <f aca="false">I310+I311</f>
        <v>28800</v>
      </c>
      <c r="J312" s="70" t="n">
        <f aca="false">J310+J311</f>
        <v>0</v>
      </c>
      <c r="K312" s="70" t="n">
        <f aca="false">K310+K311</f>
        <v>0</v>
      </c>
      <c r="L312" s="70" t="n">
        <f aca="false">L310+L311</f>
        <v>38400</v>
      </c>
      <c r="M312" s="70" t="n">
        <f aca="false">M310+M311</f>
        <v>0</v>
      </c>
      <c r="N312" s="70" t="n">
        <f aca="false">N310+N311</f>
        <v>28800</v>
      </c>
      <c r="O312" s="70" t="n">
        <f aca="false">O310+O311</f>
        <v>0</v>
      </c>
      <c r="P312" s="70" t="n">
        <f aca="false">P310+P311</f>
        <v>0</v>
      </c>
      <c r="Q312" s="70" t="n">
        <f aca="false">Q310+Q311</f>
        <v>0</v>
      </c>
      <c r="R312" s="70" t="n">
        <f aca="false">R310+R311</f>
        <v>0</v>
      </c>
      <c r="S312" s="70" t="n">
        <f aca="false">S310+S311</f>
        <v>0</v>
      </c>
      <c r="T312" s="70" t="n">
        <f aca="false">T310+T311</f>
        <v>0</v>
      </c>
      <c r="U312" s="70" t="n">
        <f aca="false">U310+U311</f>
        <v>0</v>
      </c>
      <c r="V312" s="70" t="n">
        <f aca="false">V310+V311</f>
        <v>0</v>
      </c>
      <c r="W312" s="70" t="n">
        <f aca="false">W310+W311</f>
        <v>0</v>
      </c>
      <c r="X312" s="70" t="n">
        <f aca="false">X310+X311</f>
        <v>0</v>
      </c>
      <c r="Y312" s="70" t="n">
        <f aca="false">Y310+Y311</f>
        <v>0</v>
      </c>
      <c r="Z312" s="70" t="n">
        <f aca="false">Z310+Z311</f>
        <v>0</v>
      </c>
      <c r="AA312" s="70" t="n">
        <f aca="false">AA310+AA311</f>
        <v>0</v>
      </c>
      <c r="AB312" s="70" t="n">
        <f aca="false">AB310+AB311</f>
        <v>0</v>
      </c>
    </row>
    <row r="313" customFormat="false" ht="15" hidden="false" customHeight="false" outlineLevel="0" collapsed="false">
      <c r="A313" s="28" t="s">
        <v>717</v>
      </c>
      <c r="B313" s="58" t="s">
        <v>718</v>
      </c>
      <c r="C313" s="59" t="n">
        <f aca="false">SUM(E313:P313)</f>
        <v>96000</v>
      </c>
      <c r="D313" s="59" t="n">
        <f aca="false">SUM(Q313:AB313)</f>
        <v>0</v>
      </c>
      <c r="E313" s="60" t="n">
        <f aca="false">IF(E$5="A",Inputs_Actuals!E126,Client_Register!$T$20+E312-(E312*MIN(1,Client_Register!$J$20/30)+0*MIN(1,MAX(0,(Client_Register!$J$20-30)/30))+0*MIN(1,MAX(0,(Client_Register!$J$20-60)/30))))</f>
        <v>0</v>
      </c>
      <c r="F313" s="60" t="n">
        <f aca="false">IF(F$5="A",Inputs_Actuals!F126,E314+F312-(F312*MIN(1,Client_Register!$J$20/30)+E312*MIN(1,MAX(0,(Client_Register!$J$20-30)/30))+0*MIN(1,MAX(0,(Client_Register!$J$20-60)/30))))</f>
        <v>0</v>
      </c>
      <c r="G313" s="60" t="n">
        <f aca="false">IF(G$5="A",Inputs_Actuals!G126,F314+G312-(G312*MIN(1,Client_Register!$J$20/30)+F312*MIN(1,MAX(0,(Client_Register!$J$20-30)/30))+E312*MIN(1,MAX(0,(Client_Register!$J$20-60)/30))))</f>
        <v>0</v>
      </c>
      <c r="H313" s="60" t="n">
        <f aca="false">IF(H$5="A",Inputs_Actuals!H126,G314+H312-(H312*MIN(1,Client_Register!$J$20/30)+G312*MIN(1,MAX(0,(Client_Register!$J$20-30)/30))+F312*MIN(1,MAX(0,(Client_Register!$J$20-60)/30))))</f>
        <v>0</v>
      </c>
      <c r="I313" s="60" t="n">
        <f aca="false">IF(I$5="A",Inputs_Actuals!I126,H314+I312-(I312*MIN(1,Client_Register!$J$20/30)+H312*MIN(1,MAX(0,(Client_Register!$J$20-30)/30))+G312*MIN(1,MAX(0,(Client_Register!$J$20-60)/30))))</f>
        <v>-733.15</v>
      </c>
      <c r="J313" s="60" t="n">
        <f aca="false">IF(J$5="A",Inputs_Actuals!J126,I314+J312-(J312*MIN(1,Client_Register!$J$20/30)+I312*MIN(1,MAX(0,(Client_Register!$J$20-30)/30))+H312*MIN(1,MAX(0,(Client_Register!$J$20-60)/30))))</f>
        <v>29533.15</v>
      </c>
      <c r="K313" s="60" t="n">
        <f aca="false">IF(K$5="A",Inputs_Actuals!K126,J314+K312-(K312*MIN(1,Client_Register!$J$20/30)+J312*MIN(1,MAX(0,(Client_Register!$J$20-30)/30))+I312*MIN(1,MAX(0,(Client_Register!$J$20-60)/30))))</f>
        <v>0</v>
      </c>
      <c r="L313" s="60" t="n">
        <f aca="false">IF(L$5="A",Inputs_Actuals!L126,K314+L312-(L312*MIN(1,Client_Register!$J$20/30)+K312*MIN(1,MAX(0,(Client_Register!$J$20-30)/30))+J312*MIN(1,MAX(0,(Client_Register!$J$20-60)/30))))</f>
        <v>2725.74</v>
      </c>
      <c r="M313" s="60" t="n">
        <f aca="false">IF(M$5="A",Inputs_Actuals!M126,L314+M312-(M312*MIN(1,Client_Register!$J$20/30)+L312*MIN(1,MAX(0,(Client_Register!$J$20-30)/30))+K312*MIN(1,MAX(0,(Client_Register!$J$20-60)/30))))</f>
        <v>35674.26</v>
      </c>
      <c r="N313" s="60" t="n">
        <f aca="false">IF(N$5="A",Inputs_Actuals!N126,M314+N312-(N312*MIN(1,Client_Register!$J$20/30)+M312*MIN(1,MAX(0,(Client_Register!$J$20-30)/30))+L312*MIN(1,MAX(0,(Client_Register!$J$20-60)/30))))</f>
        <v>0</v>
      </c>
      <c r="O313" s="60" t="n">
        <f aca="false">IF(O$5="A",Inputs_Actuals!O126,N314+O312-(O312*MIN(1,Client_Register!$J$20/30)+N312*MIN(1,MAX(0,(Client_Register!$J$20-30)/30))+M312*MIN(1,MAX(0,(Client_Register!$J$20-60)/30))))</f>
        <v>28800</v>
      </c>
      <c r="P313" s="60" t="n">
        <f aca="false">IF(P$5="A",Inputs_Actuals!P126,O314+P312-(P312*MIN(1,Client_Register!$J$20/30)+O312*MIN(1,MAX(0,(Client_Register!$J$20-30)/30))+N312*MIN(1,MAX(0,(Client_Register!$J$20-60)/30))))</f>
        <v>0</v>
      </c>
      <c r="Q313" s="60" t="n">
        <f aca="false">IF(Q$5="A",Inputs_Actuals!Q126,P314+Q312-(Q312*MIN(1,Client_Register!$J$20/30)+P312*MIN(1,MAX(0,(Client_Register!$J$20-30)/30))+O312*MIN(1,MAX(0,(Client_Register!$J$20-60)/30))))</f>
        <v>0</v>
      </c>
      <c r="R313" s="60" t="n">
        <f aca="false">IF(R$5="A",Inputs_Actuals!R126,Q314+R312-(R312*MIN(1,Client_Register!$J$20/30)+Q312*MIN(1,MAX(0,(Client_Register!$J$20-30)/30))+P312*MIN(1,MAX(0,(Client_Register!$J$20-60)/30))))</f>
        <v>0</v>
      </c>
      <c r="S313" s="60" t="n">
        <f aca="false">IF(S$5="A",Inputs_Actuals!S126,R314+S312-(S312*MIN(1,Client_Register!$J$20/30)+R312*MIN(1,MAX(0,(Client_Register!$J$20-30)/30))+Q312*MIN(1,MAX(0,(Client_Register!$J$20-60)/30))))</f>
        <v>0</v>
      </c>
      <c r="T313" s="60" t="n">
        <f aca="false">IF(T$5="A",Inputs_Actuals!T126,S314+T312-(T312*MIN(1,Client_Register!$J$20/30)+S312*MIN(1,MAX(0,(Client_Register!$J$20-30)/30))+R312*MIN(1,MAX(0,(Client_Register!$J$20-60)/30))))</f>
        <v>0</v>
      </c>
      <c r="U313" s="60" t="n">
        <f aca="false">IF(U$5="A",Inputs_Actuals!U126,T314+U312-(U312*MIN(1,Client_Register!$J$20/30)+T312*MIN(1,MAX(0,(Client_Register!$J$20-30)/30))+S312*MIN(1,MAX(0,(Client_Register!$J$20-60)/30))))</f>
        <v>0</v>
      </c>
      <c r="V313" s="60" t="n">
        <f aca="false">IF(V$5="A",Inputs_Actuals!V126,U314+V312-(V312*MIN(1,Client_Register!$J$20/30)+U312*MIN(1,MAX(0,(Client_Register!$J$20-30)/30))+T312*MIN(1,MAX(0,(Client_Register!$J$20-60)/30))))</f>
        <v>0</v>
      </c>
      <c r="W313" s="60" t="n">
        <f aca="false">IF(W$5="A",Inputs_Actuals!W126,V314+W312-(W312*MIN(1,Client_Register!$J$20/30)+V312*MIN(1,MAX(0,(Client_Register!$J$20-30)/30))+U312*MIN(1,MAX(0,(Client_Register!$J$20-60)/30))))</f>
        <v>0</v>
      </c>
      <c r="X313" s="60" t="n">
        <f aca="false">IF(X$5="A",Inputs_Actuals!X126,W314+X312-(X312*MIN(1,Client_Register!$J$20/30)+W312*MIN(1,MAX(0,(Client_Register!$J$20-30)/30))+V312*MIN(1,MAX(0,(Client_Register!$J$20-60)/30))))</f>
        <v>0</v>
      </c>
      <c r="Y313" s="60" t="n">
        <f aca="false">IF(Y$5="A",Inputs_Actuals!Y126,X314+Y312-(Y312*MIN(1,Client_Register!$J$20/30)+X312*MIN(1,MAX(0,(Client_Register!$J$20-30)/30))+W312*MIN(1,MAX(0,(Client_Register!$J$20-60)/30))))</f>
        <v>0</v>
      </c>
      <c r="Z313" s="60" t="n">
        <f aca="false">IF(Z$5="A",Inputs_Actuals!Z126,Y314+Z312-(Z312*MIN(1,Client_Register!$J$20/30)+Y312*MIN(1,MAX(0,(Client_Register!$J$20-30)/30))+X312*MIN(1,MAX(0,(Client_Register!$J$20-60)/30))))</f>
        <v>0</v>
      </c>
      <c r="AA313" s="60" t="n">
        <f aca="false">IF(AA$5="A",Inputs_Actuals!AA126,Z314+AA312-(AA312*MIN(1,Client_Register!$J$20/30)+Z312*MIN(1,MAX(0,(Client_Register!$J$20-30)/30))+Y312*MIN(1,MAX(0,(Client_Register!$J$20-60)/30))))</f>
        <v>0</v>
      </c>
      <c r="AB313" s="60" t="n">
        <f aca="false">IF(AB$5="A",Inputs_Actuals!AB126,AA314+AB312-(AB312*MIN(1,Client_Register!$J$20/30)+AA312*MIN(1,MAX(0,(Client_Register!$J$20-30)/30))+Z312*MIN(1,MAX(0,(Client_Register!$J$20-60)/30))))</f>
        <v>0</v>
      </c>
    </row>
    <row r="314" customFormat="false" ht="15" hidden="false" customHeight="false" outlineLevel="0" collapsed="false">
      <c r="A314" s="68" t="s">
        <v>719</v>
      </c>
      <c r="B314" s="69" t="s">
        <v>720</v>
      </c>
      <c r="C314" s="70" t="n">
        <f aca="false">P314</f>
        <v>0</v>
      </c>
      <c r="D314" s="70" t="n">
        <f aca="false">AB314</f>
        <v>0</v>
      </c>
      <c r="E314" s="74" t="n">
        <f aca="false">Client_Register!$T$20+E312-E313</f>
        <v>0</v>
      </c>
      <c r="F314" s="70" t="n">
        <f aca="false">E314+F312-F313</f>
        <v>0</v>
      </c>
      <c r="G314" s="70" t="n">
        <f aca="false">F314+G312-G313</f>
        <v>0</v>
      </c>
      <c r="H314" s="70" t="n">
        <f aca="false">G314+H312-H313</f>
        <v>0</v>
      </c>
      <c r="I314" s="70" t="n">
        <f aca="false">H314+I312-I313</f>
        <v>29533.15</v>
      </c>
      <c r="J314" s="70" t="n">
        <f aca="false">I314+J312-J313</f>
        <v>0</v>
      </c>
      <c r="K314" s="70" t="n">
        <f aca="false">J314+K312-K313</f>
        <v>0</v>
      </c>
      <c r="L314" s="70" t="n">
        <f aca="false">K314+L312-L313</f>
        <v>35674.26</v>
      </c>
      <c r="M314" s="70" t="n">
        <f aca="false">L314+M312-M313</f>
        <v>0</v>
      </c>
      <c r="N314" s="70" t="n">
        <f aca="false">M314+N312-N313</f>
        <v>28800</v>
      </c>
      <c r="O314" s="70" t="n">
        <f aca="false">N314+O312-O313</f>
        <v>0</v>
      </c>
      <c r="P314" s="70" t="n">
        <f aca="false">O314+P312-P313</f>
        <v>0</v>
      </c>
      <c r="Q314" s="70" t="n">
        <f aca="false">P314+Q312-Q313</f>
        <v>0</v>
      </c>
      <c r="R314" s="70" t="n">
        <f aca="false">Q314+R312-R313</f>
        <v>0</v>
      </c>
      <c r="S314" s="70" t="n">
        <f aca="false">R314+S312-S313</f>
        <v>0</v>
      </c>
      <c r="T314" s="70" t="n">
        <f aca="false">S314+T312-T313</f>
        <v>0</v>
      </c>
      <c r="U314" s="70" t="n">
        <f aca="false">T314+U312-U313</f>
        <v>0</v>
      </c>
      <c r="V314" s="70" t="n">
        <f aca="false">U314+V312-V313</f>
        <v>0</v>
      </c>
      <c r="W314" s="70" t="n">
        <f aca="false">V314+W312-W313</f>
        <v>0</v>
      </c>
      <c r="X314" s="70" t="n">
        <f aca="false">W314+X312-X313</f>
        <v>0</v>
      </c>
      <c r="Y314" s="70" t="n">
        <f aca="false">X314+Y312-Y313</f>
        <v>0</v>
      </c>
      <c r="Z314" s="70" t="n">
        <f aca="false">Y314+Z312-Z313</f>
        <v>0</v>
      </c>
      <c r="AA314" s="70" t="n">
        <f aca="false">Z314+AA312-AA313</f>
        <v>0</v>
      </c>
      <c r="AB314" s="70" t="n">
        <f aca="false">AA314+AB312-AB313</f>
        <v>0</v>
      </c>
    </row>
    <row r="315" customFormat="false" ht="15" hidden="false" customHeight="false" outlineLevel="0" collapsed="false">
      <c r="A315" s="28" t="s">
        <v>721</v>
      </c>
      <c r="B315" s="58" t="s">
        <v>722</v>
      </c>
      <c r="C315" s="59" t="n">
        <f aca="false">P315</f>
        <v>0</v>
      </c>
      <c r="D315" s="59" t="n">
        <f aca="false">AB315</f>
        <v>0</v>
      </c>
      <c r="E315" s="60" t="n">
        <f aca="false">Client_Register!$U$20+E303-(E310-E309)</f>
        <v>0</v>
      </c>
      <c r="F315" s="71" t="n">
        <f aca="false">E315+F303-(F310-F309)</f>
        <v>0</v>
      </c>
      <c r="G315" s="71" t="n">
        <f aca="false">F315+G303-(G310-G309)</f>
        <v>0</v>
      </c>
      <c r="H315" s="71" t="n">
        <f aca="false">G315+H303-(H310-H309)</f>
        <v>0</v>
      </c>
      <c r="I315" s="71" t="n">
        <f aca="false">H315+I303-(I310-I309)</f>
        <v>-21730</v>
      </c>
      <c r="J315" s="71" t="n">
        <f aca="false">I315+J303-(J310-J309)</f>
        <v>-3610</v>
      </c>
      <c r="K315" s="71" t="n">
        <f aca="false">J315+K303-(K310-K309)</f>
        <v>16200</v>
      </c>
      <c r="L315" s="71" t="n">
        <f aca="false">K315+L303-(L310-L309)</f>
        <v>2773.33</v>
      </c>
      <c r="M315" s="71" t="n">
        <f aca="false">L315+M303-(M310-M309)</f>
        <v>21363.8095238095</v>
      </c>
      <c r="N315" s="71" t="n">
        <f aca="false">M315+N303-(N310-N309)</f>
        <v>0</v>
      </c>
      <c r="O315" s="71" t="n">
        <f aca="false">N315+O303-(O310-O309)</f>
        <v>0</v>
      </c>
      <c r="P315" s="71" t="n">
        <f aca="false">O315+P303-(P310-P309)</f>
        <v>0</v>
      </c>
      <c r="Q315" s="71" t="n">
        <f aca="false">P315+Q303-(Q310-Q309)</f>
        <v>0</v>
      </c>
      <c r="R315" s="71" t="n">
        <f aca="false">Q315+R303-(R310-R309)</f>
        <v>0</v>
      </c>
      <c r="S315" s="71" t="n">
        <f aca="false">R315+S303-(S310-S309)</f>
        <v>0</v>
      </c>
      <c r="T315" s="71" t="n">
        <f aca="false">S315+T303-(T310-T309)</f>
        <v>0</v>
      </c>
      <c r="U315" s="71" t="n">
        <f aca="false">T315+U303-(U310-U309)</f>
        <v>0</v>
      </c>
      <c r="V315" s="71" t="n">
        <f aca="false">U315+V303-(V310-V309)</f>
        <v>0</v>
      </c>
      <c r="W315" s="71" t="n">
        <f aca="false">V315+W303-(W310-W309)</f>
        <v>0</v>
      </c>
      <c r="X315" s="71" t="n">
        <f aca="false">W315+X303-(X310-X309)</f>
        <v>0</v>
      </c>
      <c r="Y315" s="71" t="n">
        <f aca="false">X315+Y303-(Y310-Y309)</f>
        <v>0</v>
      </c>
      <c r="Z315" s="71" t="n">
        <f aca="false">Y315+Z303-(Z310-Z309)</f>
        <v>0</v>
      </c>
      <c r="AA315" s="71" t="n">
        <f aca="false">Z315+AA303-(AA310-AA309)</f>
        <v>0</v>
      </c>
      <c r="AB315" s="71" t="n">
        <f aca="false">AA315+AB303-(AB310-AB309)</f>
        <v>0</v>
      </c>
    </row>
    <row r="316" customFormat="false" ht="15" hidden="false" customHeight="false" outlineLevel="0" collapsed="false">
      <c r="A316" s="28" t="s">
        <v>723</v>
      </c>
      <c r="B316" s="58"/>
      <c r="C316" s="59" t="n">
        <f aca="false">P316</f>
        <v>0</v>
      </c>
      <c r="D316" s="59" t="n">
        <f aca="false">AB316</f>
        <v>0</v>
      </c>
      <c r="E316" s="71" t="n">
        <f aca="false">E314/1</f>
        <v>0</v>
      </c>
      <c r="F316" s="71" t="n">
        <f aca="false">F314/1</f>
        <v>0</v>
      </c>
      <c r="G316" s="71" t="n">
        <f aca="false">G314/1</f>
        <v>0</v>
      </c>
      <c r="H316" s="71" t="n">
        <f aca="false">H314/1</f>
        <v>0</v>
      </c>
      <c r="I316" s="71" t="n">
        <f aca="false">I314/1</f>
        <v>29533.15</v>
      </c>
      <c r="J316" s="71" t="n">
        <f aca="false">J314/1</f>
        <v>0</v>
      </c>
      <c r="K316" s="71" t="n">
        <f aca="false">K314/1</f>
        <v>0</v>
      </c>
      <c r="L316" s="71" t="n">
        <f aca="false">L314/1</f>
        <v>35674.26</v>
      </c>
      <c r="M316" s="71" t="n">
        <f aca="false">M314/1</f>
        <v>0</v>
      </c>
      <c r="N316" s="71" t="n">
        <f aca="false">N314/1</f>
        <v>28800</v>
      </c>
      <c r="O316" s="71" t="n">
        <f aca="false">O314/1</f>
        <v>0</v>
      </c>
      <c r="P316" s="71" t="n">
        <f aca="false">P314/1</f>
        <v>0</v>
      </c>
      <c r="Q316" s="71" t="n">
        <f aca="false">Q314/1</f>
        <v>0</v>
      </c>
      <c r="R316" s="71" t="n">
        <f aca="false">R314/1</f>
        <v>0</v>
      </c>
      <c r="S316" s="71" t="n">
        <f aca="false">S314/1</f>
        <v>0</v>
      </c>
      <c r="T316" s="71" t="n">
        <f aca="false">T314/1</f>
        <v>0</v>
      </c>
      <c r="U316" s="71" t="n">
        <f aca="false">U314/1</f>
        <v>0</v>
      </c>
      <c r="V316" s="71" t="n">
        <f aca="false">V314/1</f>
        <v>0</v>
      </c>
      <c r="W316" s="71" t="n">
        <f aca="false">W314/1</f>
        <v>0</v>
      </c>
      <c r="X316" s="71" t="n">
        <f aca="false">X314/1</f>
        <v>0</v>
      </c>
      <c r="Y316" s="71" t="n">
        <f aca="false">Y314/1</f>
        <v>0</v>
      </c>
      <c r="Z316" s="71" t="n">
        <f aca="false">Z314/1</f>
        <v>0</v>
      </c>
      <c r="AA316" s="71" t="n">
        <f aca="false">AA314/1</f>
        <v>0</v>
      </c>
      <c r="AB316" s="71" t="n">
        <f aca="false">AB314/1</f>
        <v>0</v>
      </c>
    </row>
    <row r="317" customFormat="false" ht="15" hidden="false" customHeight="false" outlineLevel="0" collapsed="false">
      <c r="A317" s="28" t="s">
        <v>724</v>
      </c>
      <c r="B317" s="58"/>
      <c r="C317" s="66" t="n">
        <f aca="false">P317</f>
        <v>0</v>
      </c>
      <c r="D317" s="66" t="n">
        <f aca="false">AB317</f>
        <v>0</v>
      </c>
      <c r="E317" s="72" t="n">
        <f aca="false">IFERROR(E314/AVERAGE(E312:E312)*30.4,0)</f>
        <v>0</v>
      </c>
      <c r="F317" s="72" t="n">
        <f aca="false">IFERROR(F314/AVERAGE(E312:F312)*30.4,0)</f>
        <v>0</v>
      </c>
      <c r="G317" s="72" t="n">
        <f aca="false">IFERROR(G314/AVERAGE(E312:G312)*30.4,0)</f>
        <v>0</v>
      </c>
      <c r="H317" s="72" t="n">
        <f aca="false">IFERROR(H314/AVERAGE(F312:H312)*30.4,0)</f>
        <v>0</v>
      </c>
      <c r="I317" s="72" t="n">
        <f aca="false">IFERROR(I314/AVERAGE(G312:I312)*30.4,0)</f>
        <v>93.5216416666667</v>
      </c>
      <c r="J317" s="72" t="n">
        <f aca="false">IFERROR(J314/AVERAGE(H312:J312)*30.4,0)</f>
        <v>0</v>
      </c>
      <c r="K317" s="72" t="n">
        <f aca="false">IFERROR(K314/AVERAGE(I312:K312)*30.4,0)</f>
        <v>0</v>
      </c>
      <c r="L317" s="72" t="n">
        <f aca="false">IFERROR(L314/AVERAGE(J312:L312)*30.4,0)</f>
        <v>84.7263675</v>
      </c>
      <c r="M317" s="72" t="n">
        <f aca="false">IFERROR(M314/AVERAGE(K312:M312)*30.4,0)</f>
        <v>0</v>
      </c>
      <c r="N317" s="72" t="n">
        <f aca="false">IFERROR(N314/AVERAGE(L312:N312)*30.4,0)</f>
        <v>39.0857142857143</v>
      </c>
      <c r="O317" s="72" t="n">
        <f aca="false">IFERROR(O314/AVERAGE(M312:O312)*30.4,0)</f>
        <v>0</v>
      </c>
      <c r="P317" s="72" t="n">
        <f aca="false">IFERROR(P314/AVERAGE(N312:P312)*30.4,0)</f>
        <v>0</v>
      </c>
      <c r="Q317" s="72" t="n">
        <f aca="false">IFERROR(Q314/AVERAGE(O312:Q312)*30.4,0)</f>
        <v>0</v>
      </c>
      <c r="R317" s="72" t="n">
        <f aca="false">IFERROR(R314/AVERAGE(P312:R312)*30.4,0)</f>
        <v>0</v>
      </c>
      <c r="S317" s="72" t="n">
        <f aca="false">IFERROR(S314/AVERAGE(Q312:S312)*30.4,0)</f>
        <v>0</v>
      </c>
      <c r="T317" s="72" t="n">
        <f aca="false">IFERROR(T314/AVERAGE(R312:T312)*30.4,0)</f>
        <v>0</v>
      </c>
      <c r="U317" s="72" t="n">
        <f aca="false">IFERROR(U314/AVERAGE(S312:U312)*30.4,0)</f>
        <v>0</v>
      </c>
      <c r="V317" s="72" t="n">
        <f aca="false">IFERROR(V314/AVERAGE(T312:V312)*30.4,0)</f>
        <v>0</v>
      </c>
      <c r="W317" s="72" t="n">
        <f aca="false">IFERROR(W314/AVERAGE(U312:W312)*30.4,0)</f>
        <v>0</v>
      </c>
      <c r="X317" s="72" t="n">
        <f aca="false">IFERROR(X314/AVERAGE(V312:X312)*30.4,0)</f>
        <v>0</v>
      </c>
      <c r="Y317" s="72" t="n">
        <f aca="false">IFERROR(Y314/AVERAGE(W312:Y312)*30.4,0)</f>
        <v>0</v>
      </c>
      <c r="Z317" s="72" t="n">
        <f aca="false">IFERROR(Z314/AVERAGE(X312:Z312)*30.4,0)</f>
        <v>0</v>
      </c>
      <c r="AA317" s="72" t="n">
        <f aca="false">IFERROR(AA314/AVERAGE(Y312:AA312)*30.4,0)</f>
        <v>0</v>
      </c>
      <c r="AB317" s="72" t="n">
        <f aca="false">IFERROR(AB314/AVERAGE(Z312:AB312)*30.4,0)</f>
        <v>0</v>
      </c>
    </row>
    <row r="319" customFormat="false" ht="15" hidden="false" customHeight="false" outlineLevel="0" collapsed="false">
      <c r="A319" s="22" t="s">
        <v>747</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row>
    <row r="320" customFormat="false" ht="15" hidden="false" customHeight="false" outlineLevel="0" collapsed="false">
      <c r="A320" s="28" t="s">
        <v>331</v>
      </c>
      <c r="B320" s="58" t="s">
        <v>49</v>
      </c>
      <c r="C320" s="59" t="n">
        <f aca="false">SUM(E320:P320)</f>
        <v>121500</v>
      </c>
      <c r="D320" s="59" t="n">
        <f aca="false">SUM(Q320:AB320)</f>
        <v>0</v>
      </c>
      <c r="E320" s="60" t="n">
        <f aca="false">Retainers!E100</f>
        <v>13500</v>
      </c>
      <c r="F320" s="60" t="n">
        <f aca="false">Retainers!F100</f>
        <v>13500</v>
      </c>
      <c r="G320" s="60" t="n">
        <f aca="false">Retainers!G100</f>
        <v>13500</v>
      </c>
      <c r="H320" s="60" t="n">
        <f aca="false">Retainers!H100</f>
        <v>13500</v>
      </c>
      <c r="I320" s="60" t="n">
        <f aca="false">Retainers!I100</f>
        <v>13500</v>
      </c>
      <c r="J320" s="60" t="n">
        <f aca="false">Retainers!J100</f>
        <v>13500</v>
      </c>
      <c r="K320" s="60" t="n">
        <f aca="false">Retainers!K100</f>
        <v>13500</v>
      </c>
      <c r="L320" s="60" t="n">
        <f aca="false">Retainers!L100</f>
        <v>13500</v>
      </c>
      <c r="M320" s="60" t="n">
        <f aca="false">Retainers!M100</f>
        <v>13500</v>
      </c>
      <c r="N320" s="60" t="n">
        <f aca="false">Retainers!N100</f>
        <v>0</v>
      </c>
      <c r="O320" s="60" t="n">
        <f aca="false">Retainers!O100</f>
        <v>0</v>
      </c>
      <c r="P320" s="60" t="n">
        <f aca="false">Retainers!P100</f>
        <v>0</v>
      </c>
      <c r="Q320" s="60" t="n">
        <f aca="false">Retainers!Q100</f>
        <v>0</v>
      </c>
      <c r="R320" s="60" t="n">
        <f aca="false">Retainers!R100</f>
        <v>0</v>
      </c>
      <c r="S320" s="60" t="n">
        <f aca="false">Retainers!S100</f>
        <v>0</v>
      </c>
      <c r="T320" s="60" t="n">
        <f aca="false">Retainers!T100</f>
        <v>0</v>
      </c>
      <c r="U320" s="60" t="n">
        <f aca="false">Retainers!U100</f>
        <v>0</v>
      </c>
      <c r="V320" s="60" t="n">
        <f aca="false">Retainers!V100</f>
        <v>0</v>
      </c>
      <c r="W320" s="60" t="n">
        <f aca="false">Retainers!W100</f>
        <v>0</v>
      </c>
      <c r="X320" s="60" t="n">
        <f aca="false">Retainers!X100</f>
        <v>0</v>
      </c>
      <c r="Y320" s="60" t="n">
        <f aca="false">Retainers!Y100</f>
        <v>0</v>
      </c>
      <c r="Z320" s="60" t="n">
        <f aca="false">Retainers!Z100</f>
        <v>0</v>
      </c>
      <c r="AA320" s="60" t="n">
        <f aca="false">Retainers!AA100</f>
        <v>0</v>
      </c>
      <c r="AB320" s="60" t="n">
        <f aca="false">Retainers!AB100</f>
        <v>0</v>
      </c>
    </row>
    <row r="321" customFormat="false" ht="15" hidden="false" customHeight="false" outlineLevel="0" collapsed="false">
      <c r="A321" s="28" t="s">
        <v>700</v>
      </c>
      <c r="B321" s="58" t="s">
        <v>51</v>
      </c>
      <c r="C321" s="59" t="n">
        <f aca="false">SUM(E321:P321)</f>
        <v>0</v>
      </c>
      <c r="D321" s="59" t="n">
        <f aca="false">SUM(Q321:AB321)</f>
        <v>0</v>
      </c>
      <c r="E321" s="71" t="n">
        <f aca="false">0</f>
        <v>0</v>
      </c>
      <c r="F321" s="71" t="n">
        <f aca="false">0</f>
        <v>0</v>
      </c>
      <c r="G321" s="71" t="n">
        <f aca="false">0</f>
        <v>0</v>
      </c>
      <c r="H321" s="71" t="n">
        <f aca="false">0</f>
        <v>0</v>
      </c>
      <c r="I321" s="71" t="n">
        <f aca="false">0</f>
        <v>0</v>
      </c>
      <c r="J321" s="71" t="n">
        <f aca="false">0</f>
        <v>0</v>
      </c>
      <c r="K321" s="71" t="n">
        <f aca="false">0</f>
        <v>0</v>
      </c>
      <c r="L321" s="71" t="n">
        <f aca="false">0</f>
        <v>0</v>
      </c>
      <c r="M321" s="71" t="n">
        <f aca="false">0</f>
        <v>0</v>
      </c>
      <c r="N321" s="71" t="n">
        <f aca="false">0</f>
        <v>0</v>
      </c>
      <c r="O321" s="71" t="n">
        <f aca="false">0</f>
        <v>0</v>
      </c>
      <c r="P321" s="71" t="n">
        <f aca="false">0</f>
        <v>0</v>
      </c>
      <c r="Q321" s="71" t="n">
        <f aca="false">0</f>
        <v>0</v>
      </c>
      <c r="R321" s="71" t="n">
        <f aca="false">0</f>
        <v>0</v>
      </c>
      <c r="S321" s="71" t="n">
        <f aca="false">0</f>
        <v>0</v>
      </c>
      <c r="T321" s="71" t="n">
        <f aca="false">0</f>
        <v>0</v>
      </c>
      <c r="U321" s="71" t="n">
        <f aca="false">0</f>
        <v>0</v>
      </c>
      <c r="V321" s="71" t="n">
        <f aca="false">0</f>
        <v>0</v>
      </c>
      <c r="W321" s="71" t="n">
        <f aca="false">0</f>
        <v>0</v>
      </c>
      <c r="X321" s="71" t="n">
        <f aca="false">0</f>
        <v>0</v>
      </c>
      <c r="Y321" s="71" t="n">
        <f aca="false">0</f>
        <v>0</v>
      </c>
      <c r="Z321" s="71" t="n">
        <f aca="false">0</f>
        <v>0</v>
      </c>
      <c r="AA321" s="71" t="n">
        <f aca="false">0</f>
        <v>0</v>
      </c>
      <c r="AB321" s="71" t="n">
        <f aca="false">0</f>
        <v>0</v>
      </c>
    </row>
    <row r="322" customFormat="false" ht="15" hidden="false" customHeight="false" outlineLevel="0" collapsed="false">
      <c r="A322" s="28" t="s">
        <v>333</v>
      </c>
      <c r="B322" s="58" t="s">
        <v>53</v>
      </c>
      <c r="C322" s="59" t="n">
        <f aca="false">SUM(E322:P322)</f>
        <v>0</v>
      </c>
      <c r="D322" s="59" t="n">
        <f aca="false">SUM(Q322:AB322)</f>
        <v>0</v>
      </c>
      <c r="E322" s="71" t="n">
        <f aca="false">0</f>
        <v>0</v>
      </c>
      <c r="F322" s="71" t="n">
        <f aca="false">0</f>
        <v>0</v>
      </c>
      <c r="G322" s="71" t="n">
        <f aca="false">0</f>
        <v>0</v>
      </c>
      <c r="H322" s="71" t="n">
        <f aca="false">0</f>
        <v>0</v>
      </c>
      <c r="I322" s="71" t="n">
        <f aca="false">0</f>
        <v>0</v>
      </c>
      <c r="J322" s="71" t="n">
        <f aca="false">0</f>
        <v>0</v>
      </c>
      <c r="K322" s="71" t="n">
        <f aca="false">0</f>
        <v>0</v>
      </c>
      <c r="L322" s="71" t="n">
        <f aca="false">0</f>
        <v>0</v>
      </c>
      <c r="M322" s="71" t="n">
        <f aca="false">0</f>
        <v>0</v>
      </c>
      <c r="N322" s="71" t="n">
        <f aca="false">0</f>
        <v>0</v>
      </c>
      <c r="O322" s="71" t="n">
        <f aca="false">0</f>
        <v>0</v>
      </c>
      <c r="P322" s="71" t="n">
        <f aca="false">0</f>
        <v>0</v>
      </c>
      <c r="Q322" s="71" t="n">
        <f aca="false">0</f>
        <v>0</v>
      </c>
      <c r="R322" s="71" t="n">
        <f aca="false">0</f>
        <v>0</v>
      </c>
      <c r="S322" s="71" t="n">
        <f aca="false">0</f>
        <v>0</v>
      </c>
      <c r="T322" s="71" t="n">
        <f aca="false">0</f>
        <v>0</v>
      </c>
      <c r="U322" s="71" t="n">
        <f aca="false">0</f>
        <v>0</v>
      </c>
      <c r="V322" s="71" t="n">
        <f aca="false">0</f>
        <v>0</v>
      </c>
      <c r="W322" s="71" t="n">
        <f aca="false">0</f>
        <v>0</v>
      </c>
      <c r="X322" s="71" t="n">
        <f aca="false">0</f>
        <v>0</v>
      </c>
      <c r="Y322" s="71" t="n">
        <f aca="false">0</f>
        <v>0</v>
      </c>
      <c r="Z322" s="71" t="n">
        <f aca="false">0</f>
        <v>0</v>
      </c>
      <c r="AA322" s="71" t="n">
        <f aca="false">0</f>
        <v>0</v>
      </c>
      <c r="AB322" s="71" t="n">
        <f aca="false">0</f>
        <v>0</v>
      </c>
    </row>
    <row r="323" customFormat="false" ht="15" hidden="false" customHeight="false" outlineLevel="0" collapsed="false">
      <c r="A323" s="28" t="s">
        <v>334</v>
      </c>
      <c r="B323" s="58" t="s">
        <v>53</v>
      </c>
      <c r="C323" s="59" t="n">
        <f aca="false">SUM(E323:P323)</f>
        <v>0</v>
      </c>
      <c r="D323" s="59" t="n">
        <f aca="false">SUM(Q323:AB323)</f>
        <v>0</v>
      </c>
      <c r="E323" s="71" t="n">
        <f aca="false">0</f>
        <v>0</v>
      </c>
      <c r="F323" s="71" t="n">
        <f aca="false">0</f>
        <v>0</v>
      </c>
      <c r="G323" s="71" t="n">
        <f aca="false">0</f>
        <v>0</v>
      </c>
      <c r="H323" s="71" t="n">
        <f aca="false">0</f>
        <v>0</v>
      </c>
      <c r="I323" s="71" t="n">
        <f aca="false">0</f>
        <v>0</v>
      </c>
      <c r="J323" s="71" t="n">
        <f aca="false">0</f>
        <v>0</v>
      </c>
      <c r="K323" s="71" t="n">
        <f aca="false">0</f>
        <v>0</v>
      </c>
      <c r="L323" s="71" t="n">
        <f aca="false">0</f>
        <v>0</v>
      </c>
      <c r="M323" s="71" t="n">
        <f aca="false">0</f>
        <v>0</v>
      </c>
      <c r="N323" s="71" t="n">
        <f aca="false">0</f>
        <v>0</v>
      </c>
      <c r="O323" s="71" t="n">
        <f aca="false">0</f>
        <v>0</v>
      </c>
      <c r="P323" s="71" t="n">
        <f aca="false">0</f>
        <v>0</v>
      </c>
      <c r="Q323" s="71" t="n">
        <f aca="false">0</f>
        <v>0</v>
      </c>
      <c r="R323" s="71" t="n">
        <f aca="false">0</f>
        <v>0</v>
      </c>
      <c r="S323" s="71" t="n">
        <f aca="false">0</f>
        <v>0</v>
      </c>
      <c r="T323" s="71" t="n">
        <f aca="false">0</f>
        <v>0</v>
      </c>
      <c r="U323" s="71" t="n">
        <f aca="false">0</f>
        <v>0</v>
      </c>
      <c r="V323" s="71" t="n">
        <f aca="false">0</f>
        <v>0</v>
      </c>
      <c r="W323" s="71" t="n">
        <f aca="false">0</f>
        <v>0</v>
      </c>
      <c r="X323" s="71" t="n">
        <f aca="false">0</f>
        <v>0</v>
      </c>
      <c r="Y323" s="71" t="n">
        <f aca="false">0</f>
        <v>0</v>
      </c>
      <c r="Z323" s="71" t="n">
        <f aca="false">0</f>
        <v>0</v>
      </c>
      <c r="AA323" s="71" t="n">
        <f aca="false">0</f>
        <v>0</v>
      </c>
      <c r="AB323" s="71" t="n">
        <f aca="false">0</f>
        <v>0</v>
      </c>
    </row>
    <row r="324" customFormat="false" ht="15" hidden="false" customHeight="false" outlineLevel="0" collapsed="false">
      <c r="A324" s="28" t="s">
        <v>701</v>
      </c>
      <c r="B324" s="58" t="s">
        <v>51</v>
      </c>
      <c r="C324" s="59" t="n">
        <f aca="false">SUM(E324:P324)</f>
        <v>0</v>
      </c>
      <c r="D324" s="59" t="n">
        <f aca="false">SUM(Q324:AB324)</f>
        <v>0</v>
      </c>
      <c r="E324" s="71" t="n">
        <f aca="false">0</f>
        <v>0</v>
      </c>
      <c r="F324" s="71" t="n">
        <f aca="false">0</f>
        <v>0</v>
      </c>
      <c r="G324" s="71" t="n">
        <f aca="false">0</f>
        <v>0</v>
      </c>
      <c r="H324" s="71" t="n">
        <f aca="false">0</f>
        <v>0</v>
      </c>
      <c r="I324" s="71" t="n">
        <f aca="false">0</f>
        <v>0</v>
      </c>
      <c r="J324" s="71" t="n">
        <f aca="false">0</f>
        <v>0</v>
      </c>
      <c r="K324" s="71" t="n">
        <f aca="false">0</f>
        <v>0</v>
      </c>
      <c r="L324" s="71" t="n">
        <f aca="false">0</f>
        <v>0</v>
      </c>
      <c r="M324" s="71" t="n">
        <f aca="false">0</f>
        <v>0</v>
      </c>
      <c r="N324" s="71" t="n">
        <f aca="false">0</f>
        <v>0</v>
      </c>
      <c r="O324" s="71" t="n">
        <f aca="false">0</f>
        <v>0</v>
      </c>
      <c r="P324" s="71" t="n">
        <f aca="false">0</f>
        <v>0</v>
      </c>
      <c r="Q324" s="71" t="n">
        <f aca="false">0</f>
        <v>0</v>
      </c>
      <c r="R324" s="71" t="n">
        <f aca="false">0</f>
        <v>0</v>
      </c>
      <c r="S324" s="71" t="n">
        <f aca="false">0</f>
        <v>0</v>
      </c>
      <c r="T324" s="71" t="n">
        <f aca="false">0</f>
        <v>0</v>
      </c>
      <c r="U324" s="71" t="n">
        <f aca="false">0</f>
        <v>0</v>
      </c>
      <c r="V324" s="71" t="n">
        <f aca="false">0</f>
        <v>0</v>
      </c>
      <c r="W324" s="71" t="n">
        <f aca="false">0</f>
        <v>0</v>
      </c>
      <c r="X324" s="71" t="n">
        <f aca="false">0</f>
        <v>0</v>
      </c>
      <c r="Y324" s="71" t="n">
        <f aca="false">0</f>
        <v>0</v>
      </c>
      <c r="Z324" s="71" t="n">
        <f aca="false">0</f>
        <v>0</v>
      </c>
      <c r="AA324" s="71" t="n">
        <f aca="false">0</f>
        <v>0</v>
      </c>
      <c r="AB324" s="71" t="n">
        <f aca="false">0</f>
        <v>0</v>
      </c>
    </row>
    <row r="325" customFormat="false" ht="15" hidden="false" customHeight="false" outlineLevel="0" collapsed="false">
      <c r="A325" s="68" t="s">
        <v>743</v>
      </c>
      <c r="B325" s="69"/>
      <c r="C325" s="70" t="n">
        <f aca="false">SUM(E325:P325)</f>
        <v>121500</v>
      </c>
      <c r="D325" s="70" t="n">
        <f aca="false">SUM(Q325:AB325)</f>
        <v>0</v>
      </c>
      <c r="E325" s="70" t="n">
        <f aca="false">SUM(E320:E324)</f>
        <v>13500</v>
      </c>
      <c r="F325" s="70" t="n">
        <f aca="false">SUM(F320:F324)</f>
        <v>13500</v>
      </c>
      <c r="G325" s="70" t="n">
        <f aca="false">SUM(G320:G324)</f>
        <v>13500</v>
      </c>
      <c r="H325" s="70" t="n">
        <f aca="false">SUM(H320:H324)</f>
        <v>13500</v>
      </c>
      <c r="I325" s="70" t="n">
        <f aca="false">SUM(I320:I324)</f>
        <v>13500</v>
      </c>
      <c r="J325" s="70" t="n">
        <f aca="false">SUM(J320:J324)</f>
        <v>13500</v>
      </c>
      <c r="K325" s="70" t="n">
        <f aca="false">SUM(K320:K324)</f>
        <v>13500</v>
      </c>
      <c r="L325" s="70" t="n">
        <f aca="false">SUM(L320:L324)</f>
        <v>13500</v>
      </c>
      <c r="M325" s="70" t="n">
        <f aca="false">SUM(M320:M324)</f>
        <v>13500</v>
      </c>
      <c r="N325" s="70" t="n">
        <f aca="false">SUM(N320:N324)</f>
        <v>0</v>
      </c>
      <c r="O325" s="70" t="n">
        <f aca="false">SUM(O320:O324)</f>
        <v>0</v>
      </c>
      <c r="P325" s="70" t="n">
        <f aca="false">SUM(P320:P324)</f>
        <v>0</v>
      </c>
      <c r="Q325" s="70" t="n">
        <f aca="false">SUM(Q320:Q324)</f>
        <v>0</v>
      </c>
      <c r="R325" s="70" t="n">
        <f aca="false">SUM(R320:R324)</f>
        <v>0</v>
      </c>
      <c r="S325" s="70" t="n">
        <f aca="false">SUM(S320:S324)</f>
        <v>0</v>
      </c>
      <c r="T325" s="70" t="n">
        <f aca="false">SUM(T320:T324)</f>
        <v>0</v>
      </c>
      <c r="U325" s="70" t="n">
        <f aca="false">SUM(U320:U324)</f>
        <v>0</v>
      </c>
      <c r="V325" s="70" t="n">
        <f aca="false">SUM(V320:V324)</f>
        <v>0</v>
      </c>
      <c r="W325" s="70" t="n">
        <f aca="false">SUM(W320:W324)</f>
        <v>0</v>
      </c>
      <c r="X325" s="70" t="n">
        <f aca="false">SUM(X320:X324)</f>
        <v>0</v>
      </c>
      <c r="Y325" s="70" t="n">
        <f aca="false">SUM(Y320:Y324)</f>
        <v>0</v>
      </c>
      <c r="Z325" s="70" t="n">
        <f aca="false">SUM(Z320:Z324)</f>
        <v>0</v>
      </c>
      <c r="AA325" s="70" t="n">
        <f aca="false">SUM(AA320:AA324)</f>
        <v>0</v>
      </c>
      <c r="AB325" s="70" t="n">
        <f aca="false">SUM(AB320:AB324)</f>
        <v>0</v>
      </c>
    </row>
    <row r="326" customFormat="false" ht="15" hidden="false" customHeight="false" outlineLevel="0" collapsed="false">
      <c r="A326" s="28" t="s">
        <v>703</v>
      </c>
      <c r="B326" s="58"/>
      <c r="C326" s="59" t="n">
        <f aca="false">SUM(E326:P326)</f>
        <v>121500</v>
      </c>
      <c r="D326" s="59" t="n">
        <f aca="false">SUM(Q326:AB326)</f>
        <v>0</v>
      </c>
      <c r="E326" s="71" t="n">
        <f aca="false">E325/1</f>
        <v>13500</v>
      </c>
      <c r="F326" s="71" t="n">
        <f aca="false">F325/1</f>
        <v>13500</v>
      </c>
      <c r="G326" s="71" t="n">
        <f aca="false">G325/1</f>
        <v>13500</v>
      </c>
      <c r="H326" s="71" t="n">
        <f aca="false">H325/1</f>
        <v>13500</v>
      </c>
      <c r="I326" s="71" t="n">
        <f aca="false">I325/1</f>
        <v>13500</v>
      </c>
      <c r="J326" s="71" t="n">
        <f aca="false">J325/1</f>
        <v>13500</v>
      </c>
      <c r="K326" s="71" t="n">
        <f aca="false">K325/1</f>
        <v>13500</v>
      </c>
      <c r="L326" s="71" t="n">
        <f aca="false">L325/1</f>
        <v>13500</v>
      </c>
      <c r="M326" s="71" t="n">
        <f aca="false">M325/1</f>
        <v>13500</v>
      </c>
      <c r="N326" s="71" t="n">
        <f aca="false">N325/1</f>
        <v>0</v>
      </c>
      <c r="O326" s="71" t="n">
        <f aca="false">O325/1</f>
        <v>0</v>
      </c>
      <c r="P326" s="71" t="n">
        <f aca="false">P325/1</f>
        <v>0</v>
      </c>
      <c r="Q326" s="71" t="n">
        <f aca="false">Q325/1</f>
        <v>0</v>
      </c>
      <c r="R326" s="71" t="n">
        <f aca="false">R325/1</f>
        <v>0</v>
      </c>
      <c r="S326" s="71" t="n">
        <f aca="false">S325/1</f>
        <v>0</v>
      </c>
      <c r="T326" s="71" t="n">
        <f aca="false">T325/1</f>
        <v>0</v>
      </c>
      <c r="U326" s="71" t="n">
        <f aca="false">U325/1</f>
        <v>0</v>
      </c>
      <c r="V326" s="71" t="n">
        <f aca="false">V325/1</f>
        <v>0</v>
      </c>
      <c r="W326" s="71" t="n">
        <f aca="false">W325/1</f>
        <v>0</v>
      </c>
      <c r="X326" s="71" t="n">
        <f aca="false">X325/1</f>
        <v>0</v>
      </c>
      <c r="Y326" s="71" t="n">
        <f aca="false">Y325/1</f>
        <v>0</v>
      </c>
      <c r="Z326" s="71" t="n">
        <f aca="false">Z325/1</f>
        <v>0</v>
      </c>
      <c r="AA326" s="71" t="n">
        <f aca="false">AA325/1</f>
        <v>0</v>
      </c>
      <c r="AB326" s="71" t="n">
        <f aca="false">AB325/1</f>
        <v>0</v>
      </c>
    </row>
    <row r="327" customFormat="false" ht="15" hidden="false" customHeight="false" outlineLevel="0" collapsed="false">
      <c r="A327" s="28" t="s">
        <v>704</v>
      </c>
      <c r="B327" s="58" t="s">
        <v>51</v>
      </c>
      <c r="C327" s="59" t="n">
        <f aca="false">SUM(E327:P327)</f>
        <v>0</v>
      </c>
      <c r="D327" s="59" t="n">
        <f aca="false">SUM(Q327:AB327)</f>
        <v>0</v>
      </c>
      <c r="E327" s="71" t="n">
        <f aca="false">0</f>
        <v>0</v>
      </c>
      <c r="F327" s="71" t="n">
        <f aca="false">0</f>
        <v>0</v>
      </c>
      <c r="G327" s="71" t="n">
        <f aca="false">0</f>
        <v>0</v>
      </c>
      <c r="H327" s="71" t="n">
        <f aca="false">0</f>
        <v>0</v>
      </c>
      <c r="I327" s="71" t="n">
        <f aca="false">0</f>
        <v>0</v>
      </c>
      <c r="J327" s="71" t="n">
        <f aca="false">0</f>
        <v>0</v>
      </c>
      <c r="K327" s="71" t="n">
        <f aca="false">0</f>
        <v>0</v>
      </c>
      <c r="L327" s="71" t="n">
        <f aca="false">0</f>
        <v>0</v>
      </c>
      <c r="M327" s="71" t="n">
        <f aca="false">0</f>
        <v>0</v>
      </c>
      <c r="N327" s="71" t="n">
        <f aca="false">0</f>
        <v>0</v>
      </c>
      <c r="O327" s="71" t="n">
        <f aca="false">0</f>
        <v>0</v>
      </c>
      <c r="P327" s="71" t="n">
        <f aca="false">0</f>
        <v>0</v>
      </c>
      <c r="Q327" s="71" t="n">
        <f aca="false">0</f>
        <v>0</v>
      </c>
      <c r="R327" s="71" t="n">
        <f aca="false">0</f>
        <v>0</v>
      </c>
      <c r="S327" s="71" t="n">
        <f aca="false">0</f>
        <v>0</v>
      </c>
      <c r="T327" s="71" t="n">
        <f aca="false">0</f>
        <v>0</v>
      </c>
      <c r="U327" s="71" t="n">
        <f aca="false">0</f>
        <v>0</v>
      </c>
      <c r="V327" s="71" t="n">
        <f aca="false">0</f>
        <v>0</v>
      </c>
      <c r="W327" s="71" t="n">
        <f aca="false">0</f>
        <v>0</v>
      </c>
      <c r="X327" s="71" t="n">
        <f aca="false">0</f>
        <v>0</v>
      </c>
      <c r="Y327" s="71" t="n">
        <f aca="false">0</f>
        <v>0</v>
      </c>
      <c r="Z327" s="71" t="n">
        <f aca="false">0</f>
        <v>0</v>
      </c>
      <c r="AA327" s="71" t="n">
        <f aca="false">0</f>
        <v>0</v>
      </c>
      <c r="AB327" s="71" t="n">
        <f aca="false">0</f>
        <v>0</v>
      </c>
    </row>
    <row r="328" customFormat="false" ht="15" hidden="false" customHeight="false" outlineLevel="0" collapsed="false">
      <c r="A328" s="68" t="s">
        <v>705</v>
      </c>
      <c r="B328" s="69" t="s">
        <v>706</v>
      </c>
      <c r="C328" s="70" t="n">
        <f aca="false">SUM(E328:P328)</f>
        <v>121500</v>
      </c>
      <c r="D328" s="70" t="n">
        <f aca="false">SUM(Q328:AB328)</f>
        <v>0</v>
      </c>
      <c r="E328" s="70" t="n">
        <f aca="false">E326-E327</f>
        <v>13500</v>
      </c>
      <c r="F328" s="70" t="n">
        <f aca="false">F326-F327</f>
        <v>13500</v>
      </c>
      <c r="G328" s="70" t="n">
        <f aca="false">G326-G327</f>
        <v>13500</v>
      </c>
      <c r="H328" s="70" t="n">
        <f aca="false">H326-H327</f>
        <v>13500</v>
      </c>
      <c r="I328" s="70" t="n">
        <f aca="false">I326-I327</f>
        <v>13500</v>
      </c>
      <c r="J328" s="70" t="n">
        <f aca="false">J326-J327</f>
        <v>13500</v>
      </c>
      <c r="K328" s="70" t="n">
        <f aca="false">K326-K327</f>
        <v>13500</v>
      </c>
      <c r="L328" s="70" t="n">
        <f aca="false">L326-L327</f>
        <v>13500</v>
      </c>
      <c r="M328" s="70" t="n">
        <f aca="false">M326-M327</f>
        <v>13500</v>
      </c>
      <c r="N328" s="70" t="n">
        <f aca="false">N326-N327</f>
        <v>0</v>
      </c>
      <c r="O328" s="70" t="n">
        <f aca="false">O326-O327</f>
        <v>0</v>
      </c>
      <c r="P328" s="70" t="n">
        <f aca="false">P326-P327</f>
        <v>0</v>
      </c>
      <c r="Q328" s="70" t="n">
        <f aca="false">Q326-Q327</f>
        <v>0</v>
      </c>
      <c r="R328" s="70" t="n">
        <f aca="false">R326-R327</f>
        <v>0</v>
      </c>
      <c r="S328" s="70" t="n">
        <f aca="false">S326-S327</f>
        <v>0</v>
      </c>
      <c r="T328" s="70" t="n">
        <f aca="false">T326-T327</f>
        <v>0</v>
      </c>
      <c r="U328" s="70" t="n">
        <f aca="false">U326-U327</f>
        <v>0</v>
      </c>
      <c r="V328" s="70" t="n">
        <f aca="false">V326-V327</f>
        <v>0</v>
      </c>
      <c r="W328" s="70" t="n">
        <f aca="false">W326-W327</f>
        <v>0</v>
      </c>
      <c r="X328" s="70" t="n">
        <f aca="false">X326-X327</f>
        <v>0</v>
      </c>
      <c r="Y328" s="70" t="n">
        <f aca="false">Y326-Y327</f>
        <v>0</v>
      </c>
      <c r="Z328" s="70" t="n">
        <f aca="false">Z326-Z327</f>
        <v>0</v>
      </c>
      <c r="AA328" s="70" t="n">
        <f aca="false">AA326-AA327</f>
        <v>0</v>
      </c>
      <c r="AB328" s="70" t="n">
        <f aca="false">AB326-AB327</f>
        <v>0</v>
      </c>
    </row>
    <row r="329" customFormat="false" ht="15" hidden="false" customHeight="false" outlineLevel="0" collapsed="false">
      <c r="A329" s="28" t="s">
        <v>707</v>
      </c>
      <c r="B329" s="58" t="s">
        <v>708</v>
      </c>
      <c r="C329" s="66" t="n">
        <f aca="false">SUM(E329:P329)</f>
        <v>1504.57875</v>
      </c>
      <c r="D329" s="66" t="n">
        <f aca="false">SUM(Q329:AB329)</f>
        <v>0</v>
      </c>
      <c r="E329" s="67" t="n">
        <f aca="false">Retainers!E103</f>
        <v>173.7</v>
      </c>
      <c r="F329" s="67" t="n">
        <f aca="false">Retainers!F103</f>
        <v>166.3</v>
      </c>
      <c r="G329" s="67" t="n">
        <f aca="false">Retainers!G103</f>
        <v>168.2</v>
      </c>
      <c r="H329" s="67" t="n">
        <f aca="false">Retainers!H103</f>
        <v>171.9</v>
      </c>
      <c r="I329" s="67" t="n">
        <f aca="false">Retainers!I103</f>
        <v>166.6</v>
      </c>
      <c r="J329" s="67" t="n">
        <f aca="false">Retainers!J103</f>
        <v>163.6</v>
      </c>
      <c r="K329" s="67" t="n">
        <f aca="false">Retainers!K103</f>
        <v>160.1</v>
      </c>
      <c r="L329" s="67" t="n">
        <f aca="false">Retainers!L103</f>
        <v>174.5</v>
      </c>
      <c r="M329" s="67" t="n">
        <f aca="false">Retainers!M103</f>
        <v>159.67875</v>
      </c>
      <c r="N329" s="67" t="n">
        <f aca="false">Retainers!N103</f>
        <v>0</v>
      </c>
      <c r="O329" s="67" t="n">
        <f aca="false">Retainers!O103</f>
        <v>0</v>
      </c>
      <c r="P329" s="67" t="n">
        <f aca="false">Retainers!P103</f>
        <v>0</v>
      </c>
      <c r="Q329" s="67" t="n">
        <f aca="false">Retainers!Q103</f>
        <v>0</v>
      </c>
      <c r="R329" s="67" t="n">
        <f aca="false">Retainers!R103</f>
        <v>0</v>
      </c>
      <c r="S329" s="67" t="n">
        <f aca="false">Retainers!S103</f>
        <v>0</v>
      </c>
      <c r="T329" s="67" t="n">
        <f aca="false">Retainers!T103</f>
        <v>0</v>
      </c>
      <c r="U329" s="67" t="n">
        <f aca="false">Retainers!U103</f>
        <v>0</v>
      </c>
      <c r="V329" s="67" t="n">
        <f aca="false">Retainers!V103</f>
        <v>0</v>
      </c>
      <c r="W329" s="67" t="n">
        <f aca="false">Retainers!W103</f>
        <v>0</v>
      </c>
      <c r="X329" s="67" t="n">
        <f aca="false">Retainers!X103</f>
        <v>0</v>
      </c>
      <c r="Y329" s="67" t="n">
        <f aca="false">Retainers!Y103</f>
        <v>0</v>
      </c>
      <c r="Z329" s="67" t="n">
        <f aca="false">Retainers!Z103</f>
        <v>0</v>
      </c>
      <c r="AA329" s="67" t="n">
        <f aca="false">Retainers!AA103</f>
        <v>0</v>
      </c>
      <c r="AB329" s="67" t="n">
        <f aca="false">Retainers!AB103</f>
        <v>0</v>
      </c>
    </row>
    <row r="330" customFormat="false" ht="15" hidden="false" customHeight="false" outlineLevel="0" collapsed="false">
      <c r="A330" s="28" t="s">
        <v>709</v>
      </c>
      <c r="B330" s="58" t="s">
        <v>710</v>
      </c>
      <c r="C330" s="59" t="n">
        <f aca="false">SUM(E330:P330)</f>
        <v>69998.4192409436</v>
      </c>
      <c r="D330" s="59" t="n">
        <f aca="false">SUM(Q330:AB330)</f>
        <v>0</v>
      </c>
      <c r="E330" s="60" t="n">
        <f aca="false">Retainers!E103*Utilisation!E88</f>
        <v>8081.14924004603</v>
      </c>
      <c r="F330" s="60" t="n">
        <f aca="false">Retainers!F103*Utilisation!F88</f>
        <v>7736.87460345225</v>
      </c>
      <c r="G330" s="60" t="n">
        <f aca="false">Retainers!G103*Utilisation!G88</f>
        <v>7825.26944257768</v>
      </c>
      <c r="H330" s="60" t="n">
        <f aca="false">Retainers!H103*Utilisation!H88</f>
        <v>7997.40676087457</v>
      </c>
      <c r="I330" s="60" t="n">
        <f aca="false">Retainers!I103*Utilisation!I88</f>
        <v>7750.83168331416</v>
      </c>
      <c r="J330" s="60" t="n">
        <f aca="false">Retainers!J103*Utilisation!J88</f>
        <v>7611.26088469505</v>
      </c>
      <c r="K330" s="60" t="n">
        <f aca="false">Retainers!K103*Utilisation!K88</f>
        <v>7448.4282863061</v>
      </c>
      <c r="L330" s="60" t="n">
        <f aca="false">Retainers!L103*Utilisation!L88</f>
        <v>8118.36811967779</v>
      </c>
      <c r="M330" s="60" t="n">
        <f aca="false">Retainers!M103*Utilisation!M88</f>
        <v>7428.83022</v>
      </c>
      <c r="N330" s="60" t="n">
        <f aca="false">Retainers!N103*Utilisation!N88</f>
        <v>0</v>
      </c>
      <c r="O330" s="60" t="n">
        <f aca="false">Retainers!O103*Utilisation!O88</f>
        <v>0</v>
      </c>
      <c r="P330" s="60" t="n">
        <f aca="false">Retainers!P103*Utilisation!P88</f>
        <v>0</v>
      </c>
      <c r="Q330" s="60" t="n">
        <f aca="false">Retainers!Q103*Utilisation!Q88</f>
        <v>0</v>
      </c>
      <c r="R330" s="60" t="n">
        <f aca="false">Retainers!R103*Utilisation!R88</f>
        <v>0</v>
      </c>
      <c r="S330" s="60" t="n">
        <f aca="false">Retainers!S103*Utilisation!S88</f>
        <v>0</v>
      </c>
      <c r="T330" s="60" t="n">
        <f aca="false">Retainers!T103*Utilisation!T88</f>
        <v>0</v>
      </c>
      <c r="U330" s="60" t="n">
        <f aca="false">Retainers!U103*Utilisation!U88</f>
        <v>0</v>
      </c>
      <c r="V330" s="60" t="n">
        <f aca="false">Retainers!V103*Utilisation!V88</f>
        <v>0</v>
      </c>
      <c r="W330" s="60" t="n">
        <f aca="false">Retainers!W103*Utilisation!W88</f>
        <v>0</v>
      </c>
      <c r="X330" s="60" t="n">
        <f aca="false">Retainers!X103*Utilisation!X88</f>
        <v>0</v>
      </c>
      <c r="Y330" s="60" t="n">
        <f aca="false">Retainers!Y103*Utilisation!Y88</f>
        <v>0</v>
      </c>
      <c r="Z330" s="60" t="n">
        <f aca="false">Retainers!Z103*Utilisation!Z88</f>
        <v>0</v>
      </c>
      <c r="AA330" s="60" t="n">
        <f aca="false">Retainers!AA103*Utilisation!AA88</f>
        <v>0</v>
      </c>
      <c r="AB330" s="60" t="n">
        <f aca="false">Retainers!AB103*Utilisation!AB88</f>
        <v>0</v>
      </c>
    </row>
    <row r="331" customFormat="false" ht="15" hidden="false" customHeight="false" outlineLevel="0" collapsed="false">
      <c r="A331" s="28" t="s">
        <v>711</v>
      </c>
      <c r="B331" s="58" t="s">
        <v>53</v>
      </c>
      <c r="C331" s="59" t="n">
        <f aca="false">SUM(E331:P331)</f>
        <v>0</v>
      </c>
      <c r="D331" s="59" t="n">
        <f aca="false">SUM(Q331:AB331)</f>
        <v>0</v>
      </c>
      <c r="E331" s="71" t="n">
        <f aca="false">0</f>
        <v>0</v>
      </c>
      <c r="F331" s="71" t="n">
        <f aca="false">0</f>
        <v>0</v>
      </c>
      <c r="G331" s="71" t="n">
        <f aca="false">0</f>
        <v>0</v>
      </c>
      <c r="H331" s="71" t="n">
        <f aca="false">0</f>
        <v>0</v>
      </c>
      <c r="I331" s="71" t="n">
        <f aca="false">0</f>
        <v>0</v>
      </c>
      <c r="J331" s="71" t="n">
        <f aca="false">0</f>
        <v>0</v>
      </c>
      <c r="K331" s="71" t="n">
        <f aca="false">0</f>
        <v>0</v>
      </c>
      <c r="L331" s="71" t="n">
        <f aca="false">0</f>
        <v>0</v>
      </c>
      <c r="M331" s="71" t="n">
        <f aca="false">0</f>
        <v>0</v>
      </c>
      <c r="N331" s="71" t="n">
        <f aca="false">0</f>
        <v>0</v>
      </c>
      <c r="O331" s="71" t="n">
        <f aca="false">0</f>
        <v>0</v>
      </c>
      <c r="P331" s="71" t="n">
        <f aca="false">0</f>
        <v>0</v>
      </c>
      <c r="Q331" s="71" t="n">
        <f aca="false">0</f>
        <v>0</v>
      </c>
      <c r="R331" s="71" t="n">
        <f aca="false">0</f>
        <v>0</v>
      </c>
      <c r="S331" s="71" t="n">
        <f aca="false">0</f>
        <v>0</v>
      </c>
      <c r="T331" s="71" t="n">
        <f aca="false">0</f>
        <v>0</v>
      </c>
      <c r="U331" s="71" t="n">
        <f aca="false">0</f>
        <v>0</v>
      </c>
      <c r="V331" s="71" t="n">
        <f aca="false">0</f>
        <v>0</v>
      </c>
      <c r="W331" s="71" t="n">
        <f aca="false">0</f>
        <v>0</v>
      </c>
      <c r="X331" s="71" t="n">
        <f aca="false">0</f>
        <v>0</v>
      </c>
      <c r="Y331" s="71" t="n">
        <f aca="false">0</f>
        <v>0</v>
      </c>
      <c r="Z331" s="71" t="n">
        <f aca="false">0</f>
        <v>0</v>
      </c>
      <c r="AA331" s="71" t="n">
        <f aca="false">0</f>
        <v>0</v>
      </c>
      <c r="AB331" s="71" t="n">
        <f aca="false">0</f>
        <v>0</v>
      </c>
    </row>
    <row r="332" customFormat="false" ht="15" hidden="false" customHeight="false" outlineLevel="0" collapsed="false">
      <c r="A332" s="28" t="s">
        <v>712</v>
      </c>
      <c r="B332" s="58" t="s">
        <v>713</v>
      </c>
      <c r="C332" s="59" t="n">
        <f aca="false">SUM(E332:P332)</f>
        <v>121500</v>
      </c>
      <c r="D332" s="59" t="n">
        <f aca="false">SUM(Q332:AB332)</f>
        <v>0</v>
      </c>
      <c r="E332" s="60" t="n">
        <f aca="false">Retainers!E106+E323+E331+E324</f>
        <v>13500</v>
      </c>
      <c r="F332" s="60" t="n">
        <f aca="false">Retainers!F106+F323+F331+F324</f>
        <v>13500</v>
      </c>
      <c r="G332" s="60" t="n">
        <f aca="false">Retainers!G106+G323+G331+G324</f>
        <v>13500</v>
      </c>
      <c r="H332" s="60" t="n">
        <f aca="false">Retainers!H106+H323+H331+H324</f>
        <v>13500</v>
      </c>
      <c r="I332" s="60" t="n">
        <f aca="false">Retainers!I106+I323+I331+I324</f>
        <v>13500</v>
      </c>
      <c r="J332" s="60" t="n">
        <f aca="false">Retainers!J106+J323+J331+J324</f>
        <v>13500</v>
      </c>
      <c r="K332" s="60" t="n">
        <f aca="false">Retainers!K106+K323+K331+K324</f>
        <v>13500</v>
      </c>
      <c r="L332" s="60" t="n">
        <f aca="false">Retainers!L106+L323+L331+L324</f>
        <v>13500</v>
      </c>
      <c r="M332" s="60" t="n">
        <f aca="false">Retainers!M106+M323+M331+M324</f>
        <v>13500</v>
      </c>
      <c r="N332" s="60" t="n">
        <f aca="false">Retainers!N106+N323+N331+N324</f>
        <v>0</v>
      </c>
      <c r="O332" s="60" t="n">
        <f aca="false">Retainers!O106+O323+O331+O324</f>
        <v>0</v>
      </c>
      <c r="P332" s="60" t="n">
        <f aca="false">Retainers!P106+P323+P331+P324</f>
        <v>0</v>
      </c>
      <c r="Q332" s="60" t="n">
        <f aca="false">Retainers!Q106+Q323+Q331+Q324</f>
        <v>0</v>
      </c>
      <c r="R332" s="60" t="n">
        <f aca="false">Retainers!R106+R323+R331+R324</f>
        <v>0</v>
      </c>
      <c r="S332" s="60" t="n">
        <f aca="false">Retainers!S106+S323+S331+S324</f>
        <v>0</v>
      </c>
      <c r="T332" s="60" t="n">
        <f aca="false">Retainers!T106+T323+T331+T324</f>
        <v>0</v>
      </c>
      <c r="U332" s="60" t="n">
        <f aca="false">Retainers!U106+U323+U331+U324</f>
        <v>0</v>
      </c>
      <c r="V332" s="60" t="n">
        <f aca="false">Retainers!V106+V323+V331+V324</f>
        <v>0</v>
      </c>
      <c r="W332" s="60" t="n">
        <f aca="false">Retainers!W106+W323+W331+W324</f>
        <v>0</v>
      </c>
      <c r="X332" s="60" t="n">
        <f aca="false">Retainers!X106+X323+X331+X324</f>
        <v>0</v>
      </c>
      <c r="Y332" s="60" t="n">
        <f aca="false">Retainers!Y106+Y323+Y331+Y324</f>
        <v>0</v>
      </c>
      <c r="Z332" s="60" t="n">
        <f aca="false">Retainers!Z106+Z323+Z331+Z324</f>
        <v>0</v>
      </c>
      <c r="AA332" s="60" t="n">
        <f aca="false">Retainers!AA106+AA323+AA331+AA324</f>
        <v>0</v>
      </c>
      <c r="AB332" s="60" t="n">
        <f aca="false">Retainers!AB106+AB323+AB331+AB324</f>
        <v>0</v>
      </c>
    </row>
    <row r="333" customFormat="false" ht="15" hidden="false" customHeight="false" outlineLevel="0" collapsed="false">
      <c r="A333" s="28" t="s">
        <v>714</v>
      </c>
      <c r="B333" s="58" t="s">
        <v>715</v>
      </c>
      <c r="C333" s="59" t="n">
        <f aca="false">SUM(E333:P333)</f>
        <v>0</v>
      </c>
      <c r="D333" s="59" t="n">
        <f aca="false">SUM(Q333:AB333)</f>
        <v>0</v>
      </c>
      <c r="E333" s="60" t="n">
        <f aca="false">E332*Client_Register!$F$21</f>
        <v>0</v>
      </c>
      <c r="F333" s="60" t="n">
        <f aca="false">F332*Client_Register!$F$21</f>
        <v>0</v>
      </c>
      <c r="G333" s="60" t="n">
        <f aca="false">G332*Client_Register!$F$21</f>
        <v>0</v>
      </c>
      <c r="H333" s="60" t="n">
        <f aca="false">H332*Client_Register!$F$21</f>
        <v>0</v>
      </c>
      <c r="I333" s="60" t="n">
        <f aca="false">I332*Client_Register!$F$21</f>
        <v>0</v>
      </c>
      <c r="J333" s="60" t="n">
        <f aca="false">J332*Client_Register!$F$21</f>
        <v>0</v>
      </c>
      <c r="K333" s="60" t="n">
        <f aca="false">K332*Client_Register!$F$21</f>
        <v>0</v>
      </c>
      <c r="L333" s="60" t="n">
        <f aca="false">L332*Client_Register!$F$21</f>
        <v>0</v>
      </c>
      <c r="M333" s="60" t="n">
        <f aca="false">M332*Client_Register!$F$21</f>
        <v>0</v>
      </c>
      <c r="N333" s="60" t="n">
        <f aca="false">N332*Client_Register!$F$21</f>
        <v>0</v>
      </c>
      <c r="O333" s="60" t="n">
        <f aca="false">O332*Client_Register!$F$21</f>
        <v>0</v>
      </c>
      <c r="P333" s="60" t="n">
        <f aca="false">P332*Client_Register!$F$21</f>
        <v>0</v>
      </c>
      <c r="Q333" s="60" t="n">
        <f aca="false">Q332*Client_Register!$F$21</f>
        <v>0</v>
      </c>
      <c r="R333" s="60" t="n">
        <f aca="false">R332*Client_Register!$F$21</f>
        <v>0</v>
      </c>
      <c r="S333" s="60" t="n">
        <f aca="false">S332*Client_Register!$F$21</f>
        <v>0</v>
      </c>
      <c r="T333" s="60" t="n">
        <f aca="false">T332*Client_Register!$F$21</f>
        <v>0</v>
      </c>
      <c r="U333" s="60" t="n">
        <f aca="false">U332*Client_Register!$F$21</f>
        <v>0</v>
      </c>
      <c r="V333" s="60" t="n">
        <f aca="false">V332*Client_Register!$F$21</f>
        <v>0</v>
      </c>
      <c r="W333" s="60" t="n">
        <f aca="false">W332*Client_Register!$F$21</f>
        <v>0</v>
      </c>
      <c r="X333" s="60" t="n">
        <f aca="false">X332*Client_Register!$F$21</f>
        <v>0</v>
      </c>
      <c r="Y333" s="60" t="n">
        <f aca="false">Y332*Client_Register!$F$21</f>
        <v>0</v>
      </c>
      <c r="Z333" s="60" t="n">
        <f aca="false">Z332*Client_Register!$F$21</f>
        <v>0</v>
      </c>
      <c r="AA333" s="60" t="n">
        <f aca="false">AA332*Client_Register!$F$21</f>
        <v>0</v>
      </c>
      <c r="AB333" s="60" t="n">
        <f aca="false">AB332*Client_Register!$F$21</f>
        <v>0</v>
      </c>
    </row>
    <row r="334" customFormat="false" ht="15" hidden="false" customHeight="false" outlineLevel="0" collapsed="false">
      <c r="A334" s="68" t="s">
        <v>716</v>
      </c>
      <c r="B334" s="69"/>
      <c r="C334" s="70" t="n">
        <f aca="false">SUM(E334:P334)</f>
        <v>121500</v>
      </c>
      <c r="D334" s="70" t="n">
        <f aca="false">SUM(Q334:AB334)</f>
        <v>0</v>
      </c>
      <c r="E334" s="70" t="n">
        <f aca="false">E332+E333</f>
        <v>13500</v>
      </c>
      <c r="F334" s="70" t="n">
        <f aca="false">F332+F333</f>
        <v>13500</v>
      </c>
      <c r="G334" s="70" t="n">
        <f aca="false">G332+G333</f>
        <v>13500</v>
      </c>
      <c r="H334" s="70" t="n">
        <f aca="false">H332+H333</f>
        <v>13500</v>
      </c>
      <c r="I334" s="70" t="n">
        <f aca="false">I332+I333</f>
        <v>13500</v>
      </c>
      <c r="J334" s="70" t="n">
        <f aca="false">J332+J333</f>
        <v>13500</v>
      </c>
      <c r="K334" s="70" t="n">
        <f aca="false">K332+K333</f>
        <v>13500</v>
      </c>
      <c r="L334" s="70" t="n">
        <f aca="false">L332+L333</f>
        <v>13500</v>
      </c>
      <c r="M334" s="70" t="n">
        <f aca="false">M332+M333</f>
        <v>13500</v>
      </c>
      <c r="N334" s="70" t="n">
        <f aca="false">N332+N333</f>
        <v>0</v>
      </c>
      <c r="O334" s="70" t="n">
        <f aca="false">O332+O333</f>
        <v>0</v>
      </c>
      <c r="P334" s="70" t="n">
        <f aca="false">P332+P333</f>
        <v>0</v>
      </c>
      <c r="Q334" s="70" t="n">
        <f aca="false">Q332+Q333</f>
        <v>0</v>
      </c>
      <c r="R334" s="70" t="n">
        <f aca="false">R332+R333</f>
        <v>0</v>
      </c>
      <c r="S334" s="70" t="n">
        <f aca="false">S332+S333</f>
        <v>0</v>
      </c>
      <c r="T334" s="70" t="n">
        <f aca="false">T332+T333</f>
        <v>0</v>
      </c>
      <c r="U334" s="70" t="n">
        <f aca="false">U332+U333</f>
        <v>0</v>
      </c>
      <c r="V334" s="70" t="n">
        <f aca="false">V332+V333</f>
        <v>0</v>
      </c>
      <c r="W334" s="70" t="n">
        <f aca="false">W332+W333</f>
        <v>0</v>
      </c>
      <c r="X334" s="70" t="n">
        <f aca="false">X332+X333</f>
        <v>0</v>
      </c>
      <c r="Y334" s="70" t="n">
        <f aca="false">Y332+Y333</f>
        <v>0</v>
      </c>
      <c r="Z334" s="70" t="n">
        <f aca="false">Z332+Z333</f>
        <v>0</v>
      </c>
      <c r="AA334" s="70" t="n">
        <f aca="false">AA332+AA333</f>
        <v>0</v>
      </c>
      <c r="AB334" s="70" t="n">
        <f aca="false">AB332+AB333</f>
        <v>0</v>
      </c>
    </row>
    <row r="335" customFormat="false" ht="15" hidden="false" customHeight="false" outlineLevel="0" collapsed="false">
      <c r="A335" s="28" t="s">
        <v>717</v>
      </c>
      <c r="B335" s="58" t="s">
        <v>718</v>
      </c>
      <c r="C335" s="59" t="n">
        <f aca="false">SUM(E335:P335)</f>
        <v>131542.96</v>
      </c>
      <c r="D335" s="59" t="n">
        <f aca="false">SUM(Q335:AB335)</f>
        <v>0</v>
      </c>
      <c r="E335" s="60" t="n">
        <f aca="false">IF(E$5="A",Inputs_Actuals!E127,Client_Register!$T$21+E334-(E334*MIN(1,Client_Register!$J$21/30)+0*MIN(1,MAX(0,(Client_Register!$J$21-30)/30))+0*MIN(1,MAX(0,(Client_Register!$J$21-60)/30))))</f>
        <v>14979.91</v>
      </c>
      <c r="F335" s="60" t="n">
        <f aca="false">IF(F$5="A",Inputs_Actuals!F127,E336+F334-(F334*MIN(1,Client_Register!$J$21/30)+E334*MIN(1,MAX(0,(Client_Register!$J$21-30)/30))+0*MIN(1,MAX(0,(Client_Register!$J$21-60)/30))))</f>
        <v>12244.86</v>
      </c>
      <c r="G335" s="60" t="n">
        <f aca="false">IF(G$5="A",Inputs_Actuals!G127,F336+G334-(G334*MIN(1,Client_Register!$J$21/30)+F334*MIN(1,MAX(0,(Client_Register!$J$21-30)/30))+E334*MIN(1,MAX(0,(Client_Register!$J$21-60)/30))))</f>
        <v>14849.75</v>
      </c>
      <c r="H335" s="60" t="n">
        <f aca="false">IF(H$5="A",Inputs_Actuals!H127,G336+H334-(H334*MIN(1,Client_Register!$J$21/30)+G334*MIN(1,MAX(0,(Client_Register!$J$21-30)/30))+F334*MIN(1,MAX(0,(Client_Register!$J$21-60)/30))))</f>
        <v>12379.78</v>
      </c>
      <c r="I335" s="60" t="n">
        <f aca="false">IF(I$5="A",Inputs_Actuals!I127,H336+I334-(I334*MIN(1,Client_Register!$J$21/30)+H334*MIN(1,MAX(0,(Client_Register!$J$21-30)/30))+G334*MIN(1,MAX(0,(Client_Register!$J$21-60)/30))))</f>
        <v>13716.36</v>
      </c>
      <c r="J335" s="60" t="n">
        <f aca="false">IF(J$5="A",Inputs_Actuals!J127,I336+J334-(J334*MIN(1,Client_Register!$J$21/30)+I334*MIN(1,MAX(0,(Client_Register!$J$21-30)/30))+H334*MIN(1,MAX(0,(Client_Register!$J$21-60)/30))))</f>
        <v>13234.24</v>
      </c>
      <c r="K335" s="60" t="n">
        <f aca="false">IF(K$5="A",Inputs_Actuals!K127,J336+K334-(K334*MIN(1,Client_Register!$J$21/30)+J334*MIN(1,MAX(0,(Client_Register!$J$21-30)/30))+I334*MIN(1,MAX(0,(Client_Register!$J$21-60)/30))))</f>
        <v>13589.08</v>
      </c>
      <c r="L335" s="60" t="n">
        <f aca="false">IF(L$5="A",Inputs_Actuals!L127,K336+L334-(L334*MIN(1,Client_Register!$J$21/30)+K334*MIN(1,MAX(0,(Client_Register!$J$21-30)/30))+J334*MIN(1,MAX(0,(Client_Register!$J$21-60)/30))))</f>
        <v>12458.29</v>
      </c>
      <c r="M335" s="60" t="n">
        <f aca="false">IF(M$5="A",Inputs_Actuals!M127,L336+M334-(M334*MIN(1,Client_Register!$J$21/30)+L334*MIN(1,MAX(0,(Client_Register!$J$21-30)/30))+K334*MIN(1,MAX(0,(Client_Register!$J$21-60)/30))))</f>
        <v>14640.69</v>
      </c>
      <c r="N335" s="60" t="n">
        <f aca="false">IF(N$5="A",Inputs_Actuals!N127,M336+N334-(N334*MIN(1,Client_Register!$J$21/30)+M334*MIN(1,MAX(0,(Client_Register!$J$21-30)/30))+L334*MIN(1,MAX(0,(Client_Register!$J$21-60)/30))))</f>
        <v>9450</v>
      </c>
      <c r="O335" s="60" t="n">
        <f aca="false">IF(O$5="A",Inputs_Actuals!O127,N336+O334-(O334*MIN(1,Client_Register!$J$21/30)+N334*MIN(1,MAX(0,(Client_Register!$J$21-30)/30))+M334*MIN(1,MAX(0,(Client_Register!$J$21-60)/30))))</f>
        <v>0</v>
      </c>
      <c r="P335" s="60" t="n">
        <f aca="false">IF(P$5="A",Inputs_Actuals!P127,O336+P334-(P334*MIN(1,Client_Register!$J$21/30)+O334*MIN(1,MAX(0,(Client_Register!$J$21-30)/30))+N334*MIN(1,MAX(0,(Client_Register!$J$21-60)/30))))</f>
        <v>0</v>
      </c>
      <c r="Q335" s="60" t="n">
        <f aca="false">IF(Q$5="A",Inputs_Actuals!Q127,P336+Q334-(Q334*MIN(1,Client_Register!$J$21/30)+P334*MIN(1,MAX(0,(Client_Register!$J$21-30)/30))+O334*MIN(1,MAX(0,(Client_Register!$J$21-60)/30))))</f>
        <v>0</v>
      </c>
      <c r="R335" s="60" t="n">
        <f aca="false">IF(R$5="A",Inputs_Actuals!R127,Q336+R334-(R334*MIN(1,Client_Register!$J$21/30)+Q334*MIN(1,MAX(0,(Client_Register!$J$21-30)/30))+P334*MIN(1,MAX(0,(Client_Register!$J$21-60)/30))))</f>
        <v>0</v>
      </c>
      <c r="S335" s="60" t="n">
        <f aca="false">IF(S$5="A",Inputs_Actuals!S127,R336+S334-(S334*MIN(1,Client_Register!$J$21/30)+R334*MIN(1,MAX(0,(Client_Register!$J$21-30)/30))+Q334*MIN(1,MAX(0,(Client_Register!$J$21-60)/30))))</f>
        <v>0</v>
      </c>
      <c r="T335" s="60" t="n">
        <f aca="false">IF(T$5="A",Inputs_Actuals!T127,S336+T334-(T334*MIN(1,Client_Register!$J$21/30)+S334*MIN(1,MAX(0,(Client_Register!$J$21-30)/30))+R334*MIN(1,MAX(0,(Client_Register!$J$21-60)/30))))</f>
        <v>0</v>
      </c>
      <c r="U335" s="60" t="n">
        <f aca="false">IF(U$5="A",Inputs_Actuals!U127,T336+U334-(U334*MIN(1,Client_Register!$J$21/30)+T334*MIN(1,MAX(0,(Client_Register!$J$21-30)/30))+S334*MIN(1,MAX(0,(Client_Register!$J$21-60)/30))))</f>
        <v>0</v>
      </c>
      <c r="V335" s="60" t="n">
        <f aca="false">IF(V$5="A",Inputs_Actuals!V127,U336+V334-(V334*MIN(1,Client_Register!$J$21/30)+U334*MIN(1,MAX(0,(Client_Register!$J$21-30)/30))+T334*MIN(1,MAX(0,(Client_Register!$J$21-60)/30))))</f>
        <v>0</v>
      </c>
      <c r="W335" s="60" t="n">
        <f aca="false">IF(W$5="A",Inputs_Actuals!W127,V336+W334-(W334*MIN(1,Client_Register!$J$21/30)+V334*MIN(1,MAX(0,(Client_Register!$J$21-30)/30))+U334*MIN(1,MAX(0,(Client_Register!$J$21-60)/30))))</f>
        <v>0</v>
      </c>
      <c r="X335" s="60" t="n">
        <f aca="false">IF(X$5="A",Inputs_Actuals!X127,W336+X334-(X334*MIN(1,Client_Register!$J$21/30)+W334*MIN(1,MAX(0,(Client_Register!$J$21-30)/30))+V334*MIN(1,MAX(0,(Client_Register!$J$21-60)/30))))</f>
        <v>0</v>
      </c>
      <c r="Y335" s="60" t="n">
        <f aca="false">IF(Y$5="A",Inputs_Actuals!Y127,X336+Y334-(Y334*MIN(1,Client_Register!$J$21/30)+X334*MIN(1,MAX(0,(Client_Register!$J$21-30)/30))+W334*MIN(1,MAX(0,(Client_Register!$J$21-60)/30))))</f>
        <v>0</v>
      </c>
      <c r="Z335" s="60" t="n">
        <f aca="false">IF(Z$5="A",Inputs_Actuals!Z127,Y336+Z334-(Z334*MIN(1,Client_Register!$J$21/30)+Y334*MIN(1,MAX(0,(Client_Register!$J$21-30)/30))+X334*MIN(1,MAX(0,(Client_Register!$J$21-60)/30))))</f>
        <v>0</v>
      </c>
      <c r="AA335" s="60" t="n">
        <f aca="false">IF(AA$5="A",Inputs_Actuals!AA127,Z336+AA334-(AA334*MIN(1,Client_Register!$J$21/30)+Z334*MIN(1,MAX(0,(Client_Register!$J$21-30)/30))+Y334*MIN(1,MAX(0,(Client_Register!$J$21-60)/30))))</f>
        <v>0</v>
      </c>
      <c r="AB335" s="60" t="n">
        <f aca="false">IF(AB$5="A",Inputs_Actuals!AB127,AA336+AB334-(AB334*MIN(1,Client_Register!$J$21/30)+AA334*MIN(1,MAX(0,(Client_Register!$J$21-30)/30))+Z334*MIN(1,MAX(0,(Client_Register!$J$21-60)/30))))</f>
        <v>0</v>
      </c>
    </row>
    <row r="336" customFormat="false" ht="15" hidden="false" customHeight="false" outlineLevel="0" collapsed="false">
      <c r="A336" s="68" t="s">
        <v>719</v>
      </c>
      <c r="B336" s="69" t="s">
        <v>720</v>
      </c>
      <c r="C336" s="70" t="n">
        <f aca="false">P336</f>
        <v>0</v>
      </c>
      <c r="D336" s="70" t="n">
        <f aca="false">AB336</f>
        <v>0</v>
      </c>
      <c r="E336" s="74" t="n">
        <f aca="false">Client_Register!$T$21+E334-E335</f>
        <v>8563.05</v>
      </c>
      <c r="F336" s="70" t="n">
        <f aca="false">E336+F334-F335</f>
        <v>9818.19</v>
      </c>
      <c r="G336" s="70" t="n">
        <f aca="false">F336+G334-G335</f>
        <v>8468.44</v>
      </c>
      <c r="H336" s="70" t="n">
        <f aca="false">G336+H334-H335</f>
        <v>9588.66</v>
      </c>
      <c r="I336" s="70" t="n">
        <f aca="false">H336+I334-I335</f>
        <v>9372.3</v>
      </c>
      <c r="J336" s="70" t="n">
        <f aca="false">I336+J334-J335</f>
        <v>9638.06</v>
      </c>
      <c r="K336" s="70" t="n">
        <f aca="false">J336+K334-K335</f>
        <v>9548.98</v>
      </c>
      <c r="L336" s="70" t="n">
        <f aca="false">K336+L334-L335</f>
        <v>10590.69</v>
      </c>
      <c r="M336" s="70" t="n">
        <f aca="false">L336+M334-M335</f>
        <v>9450</v>
      </c>
      <c r="N336" s="70" t="n">
        <f aca="false">M336+N334-N335</f>
        <v>0</v>
      </c>
      <c r="O336" s="70" t="n">
        <f aca="false">N336+O334-O335</f>
        <v>0</v>
      </c>
      <c r="P336" s="70" t="n">
        <f aca="false">O336+P334-P335</f>
        <v>0</v>
      </c>
      <c r="Q336" s="70" t="n">
        <f aca="false">P336+Q334-Q335</f>
        <v>0</v>
      </c>
      <c r="R336" s="70" t="n">
        <f aca="false">Q336+R334-R335</f>
        <v>0</v>
      </c>
      <c r="S336" s="70" t="n">
        <f aca="false">R336+S334-S335</f>
        <v>0</v>
      </c>
      <c r="T336" s="70" t="n">
        <f aca="false">S336+T334-T335</f>
        <v>0</v>
      </c>
      <c r="U336" s="70" t="n">
        <f aca="false">T336+U334-U335</f>
        <v>0</v>
      </c>
      <c r="V336" s="70" t="n">
        <f aca="false">U336+V334-V335</f>
        <v>0</v>
      </c>
      <c r="W336" s="70" t="n">
        <f aca="false">V336+W334-W335</f>
        <v>0</v>
      </c>
      <c r="X336" s="70" t="n">
        <f aca="false">W336+X334-X335</f>
        <v>0</v>
      </c>
      <c r="Y336" s="70" t="n">
        <f aca="false">X336+Y334-Y335</f>
        <v>0</v>
      </c>
      <c r="Z336" s="70" t="n">
        <f aca="false">Y336+Z334-Z335</f>
        <v>0</v>
      </c>
      <c r="AA336" s="70" t="n">
        <f aca="false">Z336+AA334-AA335</f>
        <v>0</v>
      </c>
      <c r="AB336" s="70" t="n">
        <f aca="false">AA336+AB334-AB335</f>
        <v>0</v>
      </c>
    </row>
    <row r="337" customFormat="false" ht="15" hidden="false" customHeight="false" outlineLevel="0" collapsed="false">
      <c r="A337" s="28" t="s">
        <v>721</v>
      </c>
      <c r="B337" s="58" t="s">
        <v>722</v>
      </c>
      <c r="C337" s="59" t="n">
        <f aca="false">P337</f>
        <v>0</v>
      </c>
      <c r="D337" s="59" t="n">
        <f aca="false">AB337</f>
        <v>0</v>
      </c>
      <c r="E337" s="60" t="n">
        <f aca="false">Client_Register!$U$21+E325-(E332-E331)</f>
        <v>0</v>
      </c>
      <c r="F337" s="71" t="n">
        <f aca="false">E337+F325-(F332-F331)</f>
        <v>0</v>
      </c>
      <c r="G337" s="71" t="n">
        <f aca="false">F337+G325-(G332-G331)</f>
        <v>0</v>
      </c>
      <c r="H337" s="71" t="n">
        <f aca="false">G337+H325-(H332-H331)</f>
        <v>0</v>
      </c>
      <c r="I337" s="71" t="n">
        <f aca="false">H337+I325-(I332-I331)</f>
        <v>0</v>
      </c>
      <c r="J337" s="71" t="n">
        <f aca="false">I337+J325-(J332-J331)</f>
        <v>0</v>
      </c>
      <c r="K337" s="71" t="n">
        <f aca="false">J337+K325-(K332-K331)</f>
        <v>0</v>
      </c>
      <c r="L337" s="71" t="n">
        <f aca="false">K337+L325-(L332-L331)</f>
        <v>0</v>
      </c>
      <c r="M337" s="71" t="n">
        <f aca="false">L337+M325-(M332-M331)</f>
        <v>0</v>
      </c>
      <c r="N337" s="71" t="n">
        <f aca="false">M337+N325-(N332-N331)</f>
        <v>0</v>
      </c>
      <c r="O337" s="71" t="n">
        <f aca="false">N337+O325-(O332-O331)</f>
        <v>0</v>
      </c>
      <c r="P337" s="71" t="n">
        <f aca="false">O337+P325-(P332-P331)</f>
        <v>0</v>
      </c>
      <c r="Q337" s="71" t="n">
        <f aca="false">P337+Q325-(Q332-Q331)</f>
        <v>0</v>
      </c>
      <c r="R337" s="71" t="n">
        <f aca="false">Q337+R325-(R332-R331)</f>
        <v>0</v>
      </c>
      <c r="S337" s="71" t="n">
        <f aca="false">R337+S325-(S332-S331)</f>
        <v>0</v>
      </c>
      <c r="T337" s="71" t="n">
        <f aca="false">S337+T325-(T332-T331)</f>
        <v>0</v>
      </c>
      <c r="U337" s="71" t="n">
        <f aca="false">T337+U325-(U332-U331)</f>
        <v>0</v>
      </c>
      <c r="V337" s="71" t="n">
        <f aca="false">U337+V325-(V332-V331)</f>
        <v>0</v>
      </c>
      <c r="W337" s="71" t="n">
        <f aca="false">V337+W325-(W332-W331)</f>
        <v>0</v>
      </c>
      <c r="X337" s="71" t="n">
        <f aca="false">W337+X325-(X332-X331)</f>
        <v>0</v>
      </c>
      <c r="Y337" s="71" t="n">
        <f aca="false">X337+Y325-(Y332-Y331)</f>
        <v>0</v>
      </c>
      <c r="Z337" s="71" t="n">
        <f aca="false">Y337+Z325-(Z332-Z331)</f>
        <v>0</v>
      </c>
      <c r="AA337" s="71" t="n">
        <f aca="false">Z337+AA325-(AA332-AA331)</f>
        <v>0</v>
      </c>
      <c r="AB337" s="71" t="n">
        <f aca="false">AA337+AB325-(AB332-AB331)</f>
        <v>0</v>
      </c>
    </row>
    <row r="338" customFormat="false" ht="15" hidden="false" customHeight="false" outlineLevel="0" collapsed="false">
      <c r="A338" s="28" t="s">
        <v>723</v>
      </c>
      <c r="B338" s="58"/>
      <c r="C338" s="59" t="n">
        <f aca="false">P338</f>
        <v>0</v>
      </c>
      <c r="D338" s="59" t="n">
        <f aca="false">AB338</f>
        <v>0</v>
      </c>
      <c r="E338" s="71" t="n">
        <f aca="false">E336/1</f>
        <v>8563.05</v>
      </c>
      <c r="F338" s="71" t="n">
        <f aca="false">F336/1</f>
        <v>9818.19</v>
      </c>
      <c r="G338" s="71" t="n">
        <f aca="false">G336/1</f>
        <v>8468.44</v>
      </c>
      <c r="H338" s="71" t="n">
        <f aca="false">H336/1</f>
        <v>9588.66</v>
      </c>
      <c r="I338" s="71" t="n">
        <f aca="false">I336/1</f>
        <v>9372.3</v>
      </c>
      <c r="J338" s="71" t="n">
        <f aca="false">J336/1</f>
        <v>9638.06</v>
      </c>
      <c r="K338" s="71" t="n">
        <f aca="false">K336/1</f>
        <v>9548.98</v>
      </c>
      <c r="L338" s="71" t="n">
        <f aca="false">L336/1</f>
        <v>10590.69</v>
      </c>
      <c r="M338" s="71" t="n">
        <f aca="false">M336/1</f>
        <v>9450</v>
      </c>
      <c r="N338" s="71" t="n">
        <f aca="false">N336/1</f>
        <v>0</v>
      </c>
      <c r="O338" s="71" t="n">
        <f aca="false">O336/1</f>
        <v>0</v>
      </c>
      <c r="P338" s="71" t="n">
        <f aca="false">P336/1</f>
        <v>0</v>
      </c>
      <c r="Q338" s="71" t="n">
        <f aca="false">Q336/1</f>
        <v>0</v>
      </c>
      <c r="R338" s="71" t="n">
        <f aca="false">R336/1</f>
        <v>0</v>
      </c>
      <c r="S338" s="71" t="n">
        <f aca="false">S336/1</f>
        <v>0</v>
      </c>
      <c r="T338" s="71" t="n">
        <f aca="false">T336/1</f>
        <v>0</v>
      </c>
      <c r="U338" s="71" t="n">
        <f aca="false">U336/1</f>
        <v>0</v>
      </c>
      <c r="V338" s="71" t="n">
        <f aca="false">V336/1</f>
        <v>0</v>
      </c>
      <c r="W338" s="71" t="n">
        <f aca="false">W336/1</f>
        <v>0</v>
      </c>
      <c r="X338" s="71" t="n">
        <f aca="false">X336/1</f>
        <v>0</v>
      </c>
      <c r="Y338" s="71" t="n">
        <f aca="false">Y336/1</f>
        <v>0</v>
      </c>
      <c r="Z338" s="71" t="n">
        <f aca="false">Z336/1</f>
        <v>0</v>
      </c>
      <c r="AA338" s="71" t="n">
        <f aca="false">AA336/1</f>
        <v>0</v>
      </c>
      <c r="AB338" s="71" t="n">
        <f aca="false">AB336/1</f>
        <v>0</v>
      </c>
    </row>
    <row r="339" customFormat="false" ht="15" hidden="false" customHeight="false" outlineLevel="0" collapsed="false">
      <c r="A339" s="28" t="s">
        <v>724</v>
      </c>
      <c r="B339" s="58"/>
      <c r="C339" s="66" t="n">
        <f aca="false">P339</f>
        <v>0</v>
      </c>
      <c r="D339" s="66" t="n">
        <f aca="false">AB339</f>
        <v>0</v>
      </c>
      <c r="E339" s="72" t="n">
        <f aca="false">IFERROR(E336/AVERAGE(E334:E334)*30.4,0)</f>
        <v>19.28272</v>
      </c>
      <c r="F339" s="72" t="n">
        <f aca="false">IFERROR(F336/AVERAGE(E334:F334)*30.4,0)</f>
        <v>22.1091093333333</v>
      </c>
      <c r="G339" s="72" t="n">
        <f aca="false">IFERROR(G336/AVERAGE(E334:G334)*30.4,0)</f>
        <v>19.0696722962963</v>
      </c>
      <c r="H339" s="72" t="n">
        <f aca="false">IFERROR(H336/AVERAGE(F334:H334)*30.4,0)</f>
        <v>21.5922417777778</v>
      </c>
      <c r="I339" s="72" t="n">
        <f aca="false">IFERROR(I336/AVERAGE(G334:I334)*30.4,0)</f>
        <v>21.1050311111111</v>
      </c>
      <c r="J339" s="72" t="n">
        <f aca="false">IFERROR(J336/AVERAGE(H334:J334)*30.4,0)</f>
        <v>21.7034832592593</v>
      </c>
      <c r="K339" s="72" t="n">
        <f aca="false">IFERROR(K336/AVERAGE(I334:K334)*30.4,0)</f>
        <v>21.5028882962963</v>
      </c>
      <c r="L339" s="72" t="n">
        <f aca="false">IFERROR(L336/AVERAGE(J334:L334)*30.4,0)</f>
        <v>23.8486648888889</v>
      </c>
      <c r="M339" s="72" t="n">
        <f aca="false">IFERROR(M336/AVERAGE(K334:M334)*30.4,0)</f>
        <v>21.28</v>
      </c>
      <c r="N339" s="72" t="n">
        <f aca="false">IFERROR(N336/AVERAGE(L334:N334)*30.4,0)</f>
        <v>0</v>
      </c>
      <c r="O339" s="72" t="n">
        <f aca="false">IFERROR(O336/AVERAGE(M334:O334)*30.4,0)</f>
        <v>0</v>
      </c>
      <c r="P339" s="72" t="n">
        <f aca="false">IFERROR(P336/AVERAGE(N334:P334)*30.4,0)</f>
        <v>0</v>
      </c>
      <c r="Q339" s="72" t="n">
        <f aca="false">IFERROR(Q336/AVERAGE(O334:Q334)*30.4,0)</f>
        <v>0</v>
      </c>
      <c r="R339" s="72" t="n">
        <f aca="false">IFERROR(R336/AVERAGE(P334:R334)*30.4,0)</f>
        <v>0</v>
      </c>
      <c r="S339" s="72" t="n">
        <f aca="false">IFERROR(S336/AVERAGE(Q334:S334)*30.4,0)</f>
        <v>0</v>
      </c>
      <c r="T339" s="72" t="n">
        <f aca="false">IFERROR(T336/AVERAGE(R334:T334)*30.4,0)</f>
        <v>0</v>
      </c>
      <c r="U339" s="72" t="n">
        <f aca="false">IFERROR(U336/AVERAGE(S334:U334)*30.4,0)</f>
        <v>0</v>
      </c>
      <c r="V339" s="72" t="n">
        <f aca="false">IFERROR(V336/AVERAGE(T334:V334)*30.4,0)</f>
        <v>0</v>
      </c>
      <c r="W339" s="72" t="n">
        <f aca="false">IFERROR(W336/AVERAGE(U334:W334)*30.4,0)</f>
        <v>0</v>
      </c>
      <c r="X339" s="72" t="n">
        <f aca="false">IFERROR(X336/AVERAGE(V334:X334)*30.4,0)</f>
        <v>0</v>
      </c>
      <c r="Y339" s="72" t="n">
        <f aca="false">IFERROR(Y336/AVERAGE(W334:Y334)*30.4,0)</f>
        <v>0</v>
      </c>
      <c r="Z339" s="72" t="n">
        <f aca="false">IFERROR(Z336/AVERAGE(X334:Z334)*30.4,0)</f>
        <v>0</v>
      </c>
      <c r="AA339" s="72" t="n">
        <f aca="false">IFERROR(AA336/AVERAGE(Y334:AA334)*30.4,0)</f>
        <v>0</v>
      </c>
      <c r="AB339" s="72" t="n">
        <f aca="false">IFERROR(AB336/AVERAGE(Z334:AB334)*30.4,0)</f>
        <v>0</v>
      </c>
    </row>
    <row r="341" customFormat="false" ht="15" hidden="false" customHeight="false" outlineLevel="0" collapsed="false">
      <c r="A341" s="22" t="s">
        <v>748</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row>
    <row r="342" customFormat="false" ht="15" hidden="false" customHeight="false" outlineLevel="0" collapsed="false">
      <c r="A342" s="28" t="s">
        <v>331</v>
      </c>
      <c r="B342" s="58" t="s">
        <v>49</v>
      </c>
      <c r="C342" s="59" t="n">
        <f aca="false">SUM(E342:P342)</f>
        <v>0</v>
      </c>
      <c r="D342" s="59" t="n">
        <f aca="false">SUM(Q342:AB342)</f>
        <v>0</v>
      </c>
      <c r="E342" s="71" t="n">
        <f aca="false">0</f>
        <v>0</v>
      </c>
      <c r="F342" s="71" t="n">
        <f aca="false">0</f>
        <v>0</v>
      </c>
      <c r="G342" s="71" t="n">
        <f aca="false">0</f>
        <v>0</v>
      </c>
      <c r="H342" s="71" t="n">
        <f aca="false">0</f>
        <v>0</v>
      </c>
      <c r="I342" s="71" t="n">
        <f aca="false">0</f>
        <v>0</v>
      </c>
      <c r="J342" s="71" t="n">
        <f aca="false">0</f>
        <v>0</v>
      </c>
      <c r="K342" s="71" t="n">
        <f aca="false">0</f>
        <v>0</v>
      </c>
      <c r="L342" s="71" t="n">
        <f aca="false">0</f>
        <v>0</v>
      </c>
      <c r="M342" s="71" t="n">
        <f aca="false">0</f>
        <v>0</v>
      </c>
      <c r="N342" s="71" t="n">
        <f aca="false">0</f>
        <v>0</v>
      </c>
      <c r="O342" s="71" t="n">
        <f aca="false">0</f>
        <v>0</v>
      </c>
      <c r="P342" s="71" t="n">
        <f aca="false">0</f>
        <v>0</v>
      </c>
      <c r="Q342" s="71" t="n">
        <f aca="false">0</f>
        <v>0</v>
      </c>
      <c r="R342" s="71" t="n">
        <f aca="false">0</f>
        <v>0</v>
      </c>
      <c r="S342" s="71" t="n">
        <f aca="false">0</f>
        <v>0</v>
      </c>
      <c r="T342" s="71" t="n">
        <f aca="false">0</f>
        <v>0</v>
      </c>
      <c r="U342" s="71" t="n">
        <f aca="false">0</f>
        <v>0</v>
      </c>
      <c r="V342" s="71" t="n">
        <f aca="false">0</f>
        <v>0</v>
      </c>
      <c r="W342" s="71" t="n">
        <f aca="false">0</f>
        <v>0</v>
      </c>
      <c r="X342" s="71" t="n">
        <f aca="false">0</f>
        <v>0</v>
      </c>
      <c r="Y342" s="71" t="n">
        <f aca="false">0</f>
        <v>0</v>
      </c>
      <c r="Z342" s="71" t="n">
        <f aca="false">0</f>
        <v>0</v>
      </c>
      <c r="AA342" s="71" t="n">
        <f aca="false">0</f>
        <v>0</v>
      </c>
      <c r="AB342" s="71" t="n">
        <f aca="false">0</f>
        <v>0</v>
      </c>
    </row>
    <row r="343" customFormat="false" ht="15" hidden="false" customHeight="false" outlineLevel="0" collapsed="false">
      <c r="A343" s="28" t="s">
        <v>700</v>
      </c>
      <c r="B343" s="58" t="s">
        <v>51</v>
      </c>
      <c r="C343" s="59" t="n">
        <f aca="false">SUM(E343:P343)</f>
        <v>15092.11</v>
      </c>
      <c r="D343" s="59" t="n">
        <f aca="false">SUM(Q343:AB343)</f>
        <v>0</v>
      </c>
      <c r="E343" s="60" t="n">
        <f aca="false">Projects!E18</f>
        <v>10258.69</v>
      </c>
      <c r="F343" s="60" t="n">
        <f aca="false">Projects!F18</f>
        <v>4833.42</v>
      </c>
      <c r="G343" s="60" t="n">
        <f aca="false">Projects!G18</f>
        <v>0</v>
      </c>
      <c r="H343" s="60" t="n">
        <f aca="false">Projects!H18</f>
        <v>0</v>
      </c>
      <c r="I343" s="60" t="n">
        <f aca="false">Projects!I18</f>
        <v>0</v>
      </c>
      <c r="J343" s="60" t="n">
        <f aca="false">Projects!J18</f>
        <v>0</v>
      </c>
      <c r="K343" s="60" t="n">
        <f aca="false">Projects!K18</f>
        <v>0</v>
      </c>
      <c r="L343" s="60" t="n">
        <f aca="false">Projects!L18</f>
        <v>0</v>
      </c>
      <c r="M343" s="60" t="n">
        <f aca="false">Projects!M18</f>
        <v>0</v>
      </c>
      <c r="N343" s="60" t="n">
        <f aca="false">Projects!N18</f>
        <v>0</v>
      </c>
      <c r="O343" s="60" t="n">
        <f aca="false">Projects!O18</f>
        <v>0</v>
      </c>
      <c r="P343" s="60" t="n">
        <f aca="false">Projects!P18</f>
        <v>0</v>
      </c>
      <c r="Q343" s="60" t="n">
        <f aca="false">Projects!Q18</f>
        <v>0</v>
      </c>
      <c r="R343" s="60" t="n">
        <f aca="false">Projects!R18</f>
        <v>0</v>
      </c>
      <c r="S343" s="60" t="n">
        <f aca="false">Projects!S18</f>
        <v>0</v>
      </c>
      <c r="T343" s="60" t="n">
        <f aca="false">Projects!T18</f>
        <v>0</v>
      </c>
      <c r="U343" s="60" t="n">
        <f aca="false">Projects!U18</f>
        <v>0</v>
      </c>
      <c r="V343" s="60" t="n">
        <f aca="false">Projects!V18</f>
        <v>0</v>
      </c>
      <c r="W343" s="60" t="n">
        <f aca="false">Projects!W18</f>
        <v>0</v>
      </c>
      <c r="X343" s="60" t="n">
        <f aca="false">Projects!X18</f>
        <v>0</v>
      </c>
      <c r="Y343" s="60" t="n">
        <f aca="false">Projects!Y18</f>
        <v>0</v>
      </c>
      <c r="Z343" s="60" t="n">
        <f aca="false">Projects!Z18</f>
        <v>0</v>
      </c>
      <c r="AA343" s="60" t="n">
        <f aca="false">Projects!AA18</f>
        <v>0</v>
      </c>
      <c r="AB343" s="60" t="n">
        <f aca="false">Projects!AB18</f>
        <v>0</v>
      </c>
    </row>
    <row r="344" customFormat="false" ht="15" hidden="false" customHeight="false" outlineLevel="0" collapsed="false">
      <c r="A344" s="28" t="s">
        <v>333</v>
      </c>
      <c r="B344" s="58" t="s">
        <v>53</v>
      </c>
      <c r="C344" s="59" t="n">
        <f aca="false">SUM(E344:P344)</f>
        <v>83155.2933542618</v>
      </c>
      <c r="D344" s="59" t="n">
        <f aca="false">SUM(Q344:AB344)</f>
        <v>103840.487469287</v>
      </c>
      <c r="E344" s="60" t="n">
        <f aca="false">TM_Media!E18</f>
        <v>0</v>
      </c>
      <c r="F344" s="60" t="n">
        <f aca="false">TM_Media!F18</f>
        <v>0</v>
      </c>
      <c r="G344" s="60" t="n">
        <f aca="false">TM_Media!G18</f>
        <v>8708.37</v>
      </c>
      <c r="H344" s="60" t="n">
        <f aca="false">TM_Media!H18</f>
        <v>8391.83</v>
      </c>
      <c r="I344" s="60" t="n">
        <f aca="false">TM_Media!I18</f>
        <v>9298.68</v>
      </c>
      <c r="J344" s="60" t="n">
        <f aca="false">TM_Media!J18</f>
        <v>8274.35</v>
      </c>
      <c r="K344" s="60" t="n">
        <f aca="false">TM_Media!K18</f>
        <v>5927.88</v>
      </c>
      <c r="L344" s="60" t="n">
        <f aca="false">TM_Media!L18</f>
        <v>8314.49</v>
      </c>
      <c r="M344" s="60" t="n">
        <f aca="false">TM_Media!M18</f>
        <v>9076.96568787478</v>
      </c>
      <c r="N344" s="60" t="n">
        <f aca="false">TM_Media!N18</f>
        <v>9421.66058741433</v>
      </c>
      <c r="O344" s="60" t="n">
        <f aca="false">TM_Media!O18</f>
        <v>8732.27078833523</v>
      </c>
      <c r="P344" s="60" t="n">
        <f aca="false">TM_Media!P18</f>
        <v>7008.79629063749</v>
      </c>
      <c r="Q344" s="60" t="n">
        <f aca="false">TM_Media!Q18</f>
        <v>9081.56161986864</v>
      </c>
      <c r="R344" s="60" t="n">
        <f aca="false">TM_Media!R18</f>
        <v>8723.07892434751</v>
      </c>
      <c r="S344" s="60" t="n">
        <f aca="false">TM_Media!S18</f>
        <v>9440.04431538977</v>
      </c>
      <c r="T344" s="60" t="n">
        <f aca="false">TM_Media!T18</f>
        <v>8962.06738802826</v>
      </c>
      <c r="U344" s="60" t="n">
        <f aca="false">TM_Media!U18</f>
        <v>8962.06738802826</v>
      </c>
      <c r="V344" s="60" t="n">
        <f aca="false">TM_Media!V18</f>
        <v>8245.101996986</v>
      </c>
      <c r="W344" s="60" t="n">
        <f aca="false">TM_Media!W18</f>
        <v>6691.6769830611</v>
      </c>
      <c r="X344" s="60" t="n">
        <f aca="false">TM_Media!X18</f>
        <v>8125.60776514562</v>
      </c>
      <c r="Y344" s="60" t="n">
        <f aca="false">TM_Media!Y18</f>
        <v>9440.04431538977</v>
      </c>
      <c r="Z344" s="60" t="n">
        <f aca="false">TM_Media!Z18</f>
        <v>9798.5270109109</v>
      </c>
      <c r="AA344" s="60" t="n">
        <f aca="false">TM_Media!AA18</f>
        <v>9081.56161986864</v>
      </c>
      <c r="AB344" s="60" t="n">
        <f aca="false">TM_Media!AB18</f>
        <v>7289.14814226299</v>
      </c>
    </row>
    <row r="345" customFormat="false" ht="15" hidden="false" customHeight="false" outlineLevel="0" collapsed="false">
      <c r="A345" s="28" t="s">
        <v>334</v>
      </c>
      <c r="B345" s="58" t="s">
        <v>53</v>
      </c>
      <c r="C345" s="59" t="n">
        <f aca="false">SUM(E345:P345)</f>
        <v>0</v>
      </c>
      <c r="D345" s="59" t="n">
        <f aca="false">SUM(Q345:AB345)</f>
        <v>0</v>
      </c>
      <c r="E345" s="71" t="n">
        <f aca="false">0</f>
        <v>0</v>
      </c>
      <c r="F345" s="71" t="n">
        <f aca="false">0</f>
        <v>0</v>
      </c>
      <c r="G345" s="71" t="n">
        <f aca="false">0</f>
        <v>0</v>
      </c>
      <c r="H345" s="71" t="n">
        <f aca="false">0</f>
        <v>0</v>
      </c>
      <c r="I345" s="71" t="n">
        <f aca="false">0</f>
        <v>0</v>
      </c>
      <c r="J345" s="71" t="n">
        <f aca="false">0</f>
        <v>0</v>
      </c>
      <c r="K345" s="71" t="n">
        <f aca="false">0</f>
        <v>0</v>
      </c>
      <c r="L345" s="71" t="n">
        <f aca="false">0</f>
        <v>0</v>
      </c>
      <c r="M345" s="71" t="n">
        <f aca="false">0</f>
        <v>0</v>
      </c>
      <c r="N345" s="71" t="n">
        <f aca="false">0</f>
        <v>0</v>
      </c>
      <c r="O345" s="71" t="n">
        <f aca="false">0</f>
        <v>0</v>
      </c>
      <c r="P345" s="71" t="n">
        <f aca="false">0</f>
        <v>0</v>
      </c>
      <c r="Q345" s="71" t="n">
        <f aca="false">0</f>
        <v>0</v>
      </c>
      <c r="R345" s="71" t="n">
        <f aca="false">0</f>
        <v>0</v>
      </c>
      <c r="S345" s="71" t="n">
        <f aca="false">0</f>
        <v>0</v>
      </c>
      <c r="T345" s="71" t="n">
        <f aca="false">0</f>
        <v>0</v>
      </c>
      <c r="U345" s="71" t="n">
        <f aca="false">0</f>
        <v>0</v>
      </c>
      <c r="V345" s="71" t="n">
        <f aca="false">0</f>
        <v>0</v>
      </c>
      <c r="W345" s="71" t="n">
        <f aca="false">0</f>
        <v>0</v>
      </c>
      <c r="X345" s="71" t="n">
        <f aca="false">0</f>
        <v>0</v>
      </c>
      <c r="Y345" s="71" t="n">
        <f aca="false">0</f>
        <v>0</v>
      </c>
      <c r="Z345" s="71" t="n">
        <f aca="false">0</f>
        <v>0</v>
      </c>
      <c r="AA345" s="71" t="n">
        <f aca="false">0</f>
        <v>0</v>
      </c>
      <c r="AB345" s="71" t="n">
        <f aca="false">0</f>
        <v>0</v>
      </c>
    </row>
    <row r="346" customFormat="false" ht="15" hidden="false" customHeight="false" outlineLevel="0" collapsed="false">
      <c r="A346" s="28" t="s">
        <v>701</v>
      </c>
      <c r="B346" s="58" t="s">
        <v>51</v>
      </c>
      <c r="C346" s="59" t="n">
        <f aca="false">SUM(E346:P346)</f>
        <v>0</v>
      </c>
      <c r="D346" s="59" t="n">
        <f aca="false">SUM(Q346:AB346)</f>
        <v>0</v>
      </c>
      <c r="E346" s="71" t="n">
        <f aca="false">0</f>
        <v>0</v>
      </c>
      <c r="F346" s="71" t="n">
        <f aca="false">0</f>
        <v>0</v>
      </c>
      <c r="G346" s="71" t="n">
        <f aca="false">0</f>
        <v>0</v>
      </c>
      <c r="H346" s="71" t="n">
        <f aca="false">0</f>
        <v>0</v>
      </c>
      <c r="I346" s="71" t="n">
        <f aca="false">0</f>
        <v>0</v>
      </c>
      <c r="J346" s="71" t="n">
        <f aca="false">0</f>
        <v>0</v>
      </c>
      <c r="K346" s="71" t="n">
        <f aca="false">0</f>
        <v>0</v>
      </c>
      <c r="L346" s="71" t="n">
        <f aca="false">0</f>
        <v>0</v>
      </c>
      <c r="M346" s="71" t="n">
        <f aca="false">0</f>
        <v>0</v>
      </c>
      <c r="N346" s="71" t="n">
        <f aca="false">0</f>
        <v>0</v>
      </c>
      <c r="O346" s="71" t="n">
        <f aca="false">0</f>
        <v>0</v>
      </c>
      <c r="P346" s="71" t="n">
        <f aca="false">0</f>
        <v>0</v>
      </c>
      <c r="Q346" s="71" t="n">
        <f aca="false">0</f>
        <v>0</v>
      </c>
      <c r="R346" s="71" t="n">
        <f aca="false">0</f>
        <v>0</v>
      </c>
      <c r="S346" s="71" t="n">
        <f aca="false">0</f>
        <v>0</v>
      </c>
      <c r="T346" s="71" t="n">
        <f aca="false">0</f>
        <v>0</v>
      </c>
      <c r="U346" s="71" t="n">
        <f aca="false">0</f>
        <v>0</v>
      </c>
      <c r="V346" s="71" t="n">
        <f aca="false">0</f>
        <v>0</v>
      </c>
      <c r="W346" s="71" t="n">
        <f aca="false">0</f>
        <v>0</v>
      </c>
      <c r="X346" s="71" t="n">
        <f aca="false">0</f>
        <v>0</v>
      </c>
      <c r="Y346" s="71" t="n">
        <f aca="false">0</f>
        <v>0</v>
      </c>
      <c r="Z346" s="71" t="n">
        <f aca="false">0</f>
        <v>0</v>
      </c>
      <c r="AA346" s="71" t="n">
        <f aca="false">0</f>
        <v>0</v>
      </c>
      <c r="AB346" s="71" t="n">
        <f aca="false">0</f>
        <v>0</v>
      </c>
    </row>
    <row r="347" customFormat="false" ht="15" hidden="false" customHeight="false" outlineLevel="0" collapsed="false">
      <c r="A347" s="68" t="s">
        <v>743</v>
      </c>
      <c r="B347" s="69"/>
      <c r="C347" s="70" t="n">
        <f aca="false">SUM(E347:P347)</f>
        <v>98247.4033542618</v>
      </c>
      <c r="D347" s="70" t="n">
        <f aca="false">SUM(Q347:AB347)</f>
        <v>103840.487469287</v>
      </c>
      <c r="E347" s="70" t="n">
        <f aca="false">SUM(E342:E346)</f>
        <v>10258.69</v>
      </c>
      <c r="F347" s="70" t="n">
        <f aca="false">SUM(F342:F346)</f>
        <v>4833.42</v>
      </c>
      <c r="G347" s="70" t="n">
        <f aca="false">SUM(G342:G346)</f>
        <v>8708.37</v>
      </c>
      <c r="H347" s="70" t="n">
        <f aca="false">SUM(H342:H346)</f>
        <v>8391.83</v>
      </c>
      <c r="I347" s="70" t="n">
        <f aca="false">SUM(I342:I346)</f>
        <v>9298.68</v>
      </c>
      <c r="J347" s="70" t="n">
        <f aca="false">SUM(J342:J346)</f>
        <v>8274.35</v>
      </c>
      <c r="K347" s="70" t="n">
        <f aca="false">SUM(K342:K346)</f>
        <v>5927.88</v>
      </c>
      <c r="L347" s="70" t="n">
        <f aca="false">SUM(L342:L346)</f>
        <v>8314.49</v>
      </c>
      <c r="M347" s="70" t="n">
        <f aca="false">SUM(M342:M346)</f>
        <v>9076.96568787478</v>
      </c>
      <c r="N347" s="70" t="n">
        <f aca="false">SUM(N342:N346)</f>
        <v>9421.66058741433</v>
      </c>
      <c r="O347" s="70" t="n">
        <f aca="false">SUM(O342:O346)</f>
        <v>8732.27078833523</v>
      </c>
      <c r="P347" s="70" t="n">
        <f aca="false">SUM(P342:P346)</f>
        <v>7008.79629063749</v>
      </c>
      <c r="Q347" s="70" t="n">
        <f aca="false">SUM(Q342:Q346)</f>
        <v>9081.56161986864</v>
      </c>
      <c r="R347" s="70" t="n">
        <f aca="false">SUM(R342:R346)</f>
        <v>8723.07892434751</v>
      </c>
      <c r="S347" s="70" t="n">
        <f aca="false">SUM(S342:S346)</f>
        <v>9440.04431538977</v>
      </c>
      <c r="T347" s="70" t="n">
        <f aca="false">SUM(T342:T346)</f>
        <v>8962.06738802826</v>
      </c>
      <c r="U347" s="70" t="n">
        <f aca="false">SUM(U342:U346)</f>
        <v>8962.06738802826</v>
      </c>
      <c r="V347" s="70" t="n">
        <f aca="false">SUM(V342:V346)</f>
        <v>8245.101996986</v>
      </c>
      <c r="W347" s="70" t="n">
        <f aca="false">SUM(W342:W346)</f>
        <v>6691.6769830611</v>
      </c>
      <c r="X347" s="70" t="n">
        <f aca="false">SUM(X342:X346)</f>
        <v>8125.60776514562</v>
      </c>
      <c r="Y347" s="70" t="n">
        <f aca="false">SUM(Y342:Y346)</f>
        <v>9440.04431538977</v>
      </c>
      <c r="Z347" s="70" t="n">
        <f aca="false">SUM(Z342:Z346)</f>
        <v>9798.5270109109</v>
      </c>
      <c r="AA347" s="70" t="n">
        <f aca="false">SUM(AA342:AA346)</f>
        <v>9081.56161986864</v>
      </c>
      <c r="AB347" s="70" t="n">
        <f aca="false">SUM(AB342:AB346)</f>
        <v>7289.14814226299</v>
      </c>
    </row>
    <row r="348" customFormat="false" ht="15" hidden="false" customHeight="false" outlineLevel="0" collapsed="false">
      <c r="A348" s="28" t="s">
        <v>703</v>
      </c>
      <c r="B348" s="58"/>
      <c r="C348" s="59" t="n">
        <f aca="false">SUM(E348:P348)</f>
        <v>98247.4033542618</v>
      </c>
      <c r="D348" s="59" t="n">
        <f aca="false">SUM(Q348:AB348)</f>
        <v>103840.487469287</v>
      </c>
      <c r="E348" s="71" t="n">
        <f aca="false">E347/1</f>
        <v>10258.69</v>
      </c>
      <c r="F348" s="71" t="n">
        <f aca="false">F347/1</f>
        <v>4833.42</v>
      </c>
      <c r="G348" s="71" t="n">
        <f aca="false">G347/1</f>
        <v>8708.37</v>
      </c>
      <c r="H348" s="71" t="n">
        <f aca="false">H347/1</f>
        <v>8391.83</v>
      </c>
      <c r="I348" s="71" t="n">
        <f aca="false">I347/1</f>
        <v>9298.68</v>
      </c>
      <c r="J348" s="71" t="n">
        <f aca="false">J347/1</f>
        <v>8274.35</v>
      </c>
      <c r="K348" s="71" t="n">
        <f aca="false">K347/1</f>
        <v>5927.88</v>
      </c>
      <c r="L348" s="71" t="n">
        <f aca="false">L347/1</f>
        <v>8314.49</v>
      </c>
      <c r="M348" s="71" t="n">
        <f aca="false">M347/1</f>
        <v>9076.96568787478</v>
      </c>
      <c r="N348" s="71" t="n">
        <f aca="false">N347/1</f>
        <v>9421.66058741433</v>
      </c>
      <c r="O348" s="71" t="n">
        <f aca="false">O347/1</f>
        <v>8732.27078833523</v>
      </c>
      <c r="P348" s="71" t="n">
        <f aca="false">P347/1</f>
        <v>7008.79629063749</v>
      </c>
      <c r="Q348" s="71" t="n">
        <f aca="false">Q347/1</f>
        <v>9081.56161986864</v>
      </c>
      <c r="R348" s="71" t="n">
        <f aca="false">R347/1</f>
        <v>8723.07892434751</v>
      </c>
      <c r="S348" s="71" t="n">
        <f aca="false">S347/1</f>
        <v>9440.04431538977</v>
      </c>
      <c r="T348" s="71" t="n">
        <f aca="false">T347/1</f>
        <v>8962.06738802826</v>
      </c>
      <c r="U348" s="71" t="n">
        <f aca="false">U347/1</f>
        <v>8962.06738802826</v>
      </c>
      <c r="V348" s="71" t="n">
        <f aca="false">V347/1</f>
        <v>8245.101996986</v>
      </c>
      <c r="W348" s="71" t="n">
        <f aca="false">W347/1</f>
        <v>6691.6769830611</v>
      </c>
      <c r="X348" s="71" t="n">
        <f aca="false">X347/1</f>
        <v>8125.60776514562</v>
      </c>
      <c r="Y348" s="71" t="n">
        <f aca="false">Y347/1</f>
        <v>9440.04431538977</v>
      </c>
      <c r="Z348" s="71" t="n">
        <f aca="false">Z347/1</f>
        <v>9798.5270109109</v>
      </c>
      <c r="AA348" s="71" t="n">
        <f aca="false">AA347/1</f>
        <v>9081.56161986864</v>
      </c>
      <c r="AB348" s="71" t="n">
        <f aca="false">AB347/1</f>
        <v>7289.14814226299</v>
      </c>
    </row>
    <row r="349" customFormat="false" ht="15" hidden="false" customHeight="false" outlineLevel="0" collapsed="false">
      <c r="A349" s="28" t="s">
        <v>704</v>
      </c>
      <c r="B349" s="58" t="s">
        <v>51</v>
      </c>
      <c r="C349" s="59" t="n">
        <f aca="false">SUM(E349:P349)</f>
        <v>0</v>
      </c>
      <c r="D349" s="59" t="n">
        <f aca="false">SUM(Q349:AB349)</f>
        <v>0</v>
      </c>
      <c r="E349" s="71" t="n">
        <f aca="false">0</f>
        <v>0</v>
      </c>
      <c r="F349" s="71" t="n">
        <f aca="false">0</f>
        <v>0</v>
      </c>
      <c r="G349" s="71" t="n">
        <f aca="false">0</f>
        <v>0</v>
      </c>
      <c r="H349" s="71" t="n">
        <f aca="false">0</f>
        <v>0</v>
      </c>
      <c r="I349" s="71" t="n">
        <f aca="false">0</f>
        <v>0</v>
      </c>
      <c r="J349" s="71" t="n">
        <f aca="false">0</f>
        <v>0</v>
      </c>
      <c r="K349" s="71" t="n">
        <f aca="false">0</f>
        <v>0</v>
      </c>
      <c r="L349" s="71" t="n">
        <f aca="false">0</f>
        <v>0</v>
      </c>
      <c r="M349" s="71" t="n">
        <f aca="false">0</f>
        <v>0</v>
      </c>
      <c r="N349" s="71" t="n">
        <f aca="false">0</f>
        <v>0</v>
      </c>
      <c r="O349" s="71" t="n">
        <f aca="false">0</f>
        <v>0</v>
      </c>
      <c r="P349" s="71" t="n">
        <f aca="false">0</f>
        <v>0</v>
      </c>
      <c r="Q349" s="71" t="n">
        <f aca="false">0</f>
        <v>0</v>
      </c>
      <c r="R349" s="71" t="n">
        <f aca="false">0</f>
        <v>0</v>
      </c>
      <c r="S349" s="71" t="n">
        <f aca="false">0</f>
        <v>0</v>
      </c>
      <c r="T349" s="71" t="n">
        <f aca="false">0</f>
        <v>0</v>
      </c>
      <c r="U349" s="71" t="n">
        <f aca="false">0</f>
        <v>0</v>
      </c>
      <c r="V349" s="71" t="n">
        <f aca="false">0</f>
        <v>0</v>
      </c>
      <c r="W349" s="71" t="n">
        <f aca="false">0</f>
        <v>0</v>
      </c>
      <c r="X349" s="71" t="n">
        <f aca="false">0</f>
        <v>0</v>
      </c>
      <c r="Y349" s="71" t="n">
        <f aca="false">0</f>
        <v>0</v>
      </c>
      <c r="Z349" s="71" t="n">
        <f aca="false">0</f>
        <v>0</v>
      </c>
      <c r="AA349" s="71" t="n">
        <f aca="false">0</f>
        <v>0</v>
      </c>
      <c r="AB349" s="71" t="n">
        <f aca="false">0</f>
        <v>0</v>
      </c>
    </row>
    <row r="350" customFormat="false" ht="15" hidden="false" customHeight="false" outlineLevel="0" collapsed="false">
      <c r="A350" s="68" t="s">
        <v>705</v>
      </c>
      <c r="B350" s="69" t="s">
        <v>706</v>
      </c>
      <c r="C350" s="70" t="n">
        <f aca="false">SUM(E350:P350)</f>
        <v>98247.4033542618</v>
      </c>
      <c r="D350" s="70" t="n">
        <f aca="false">SUM(Q350:AB350)</f>
        <v>103840.487469287</v>
      </c>
      <c r="E350" s="70" t="n">
        <f aca="false">E348-E349</f>
        <v>10258.69</v>
      </c>
      <c r="F350" s="70" t="n">
        <f aca="false">F348-F349</f>
        <v>4833.42</v>
      </c>
      <c r="G350" s="70" t="n">
        <f aca="false">G348-G349</f>
        <v>8708.37</v>
      </c>
      <c r="H350" s="70" t="n">
        <f aca="false">H348-H349</f>
        <v>8391.83</v>
      </c>
      <c r="I350" s="70" t="n">
        <f aca="false">I348-I349</f>
        <v>9298.68</v>
      </c>
      <c r="J350" s="70" t="n">
        <f aca="false">J348-J349</f>
        <v>8274.35</v>
      </c>
      <c r="K350" s="70" t="n">
        <f aca="false">K348-K349</f>
        <v>5927.88</v>
      </c>
      <c r="L350" s="70" t="n">
        <f aca="false">L348-L349</f>
        <v>8314.49</v>
      </c>
      <c r="M350" s="70" t="n">
        <f aca="false">M348-M349</f>
        <v>9076.96568787478</v>
      </c>
      <c r="N350" s="70" t="n">
        <f aca="false">N348-N349</f>
        <v>9421.66058741433</v>
      </c>
      <c r="O350" s="70" t="n">
        <f aca="false">O348-O349</f>
        <v>8732.27078833523</v>
      </c>
      <c r="P350" s="70" t="n">
        <f aca="false">P348-P349</f>
        <v>7008.79629063749</v>
      </c>
      <c r="Q350" s="70" t="n">
        <f aca="false">Q348-Q349</f>
        <v>9081.56161986864</v>
      </c>
      <c r="R350" s="70" t="n">
        <f aca="false">R348-R349</f>
        <v>8723.07892434751</v>
      </c>
      <c r="S350" s="70" t="n">
        <f aca="false">S348-S349</f>
        <v>9440.04431538977</v>
      </c>
      <c r="T350" s="70" t="n">
        <f aca="false">T348-T349</f>
        <v>8962.06738802826</v>
      </c>
      <c r="U350" s="70" t="n">
        <f aca="false">U348-U349</f>
        <v>8962.06738802826</v>
      </c>
      <c r="V350" s="70" t="n">
        <f aca="false">V348-V349</f>
        <v>8245.101996986</v>
      </c>
      <c r="W350" s="70" t="n">
        <f aca="false">W348-W349</f>
        <v>6691.6769830611</v>
      </c>
      <c r="X350" s="70" t="n">
        <f aca="false">X348-X349</f>
        <v>8125.60776514562</v>
      </c>
      <c r="Y350" s="70" t="n">
        <f aca="false">Y348-Y349</f>
        <v>9440.04431538977</v>
      </c>
      <c r="Z350" s="70" t="n">
        <f aca="false">Z348-Z349</f>
        <v>9798.5270109109</v>
      </c>
      <c r="AA350" s="70" t="n">
        <f aca="false">AA348-AA349</f>
        <v>9081.56161986864</v>
      </c>
      <c r="AB350" s="70" t="n">
        <f aca="false">AB348-AB349</f>
        <v>7289.14814226299</v>
      </c>
    </row>
    <row r="351" customFormat="false" ht="15" hidden="false" customHeight="false" outlineLevel="0" collapsed="false">
      <c r="A351" s="28" t="s">
        <v>707</v>
      </c>
      <c r="B351" s="58" t="s">
        <v>708</v>
      </c>
      <c r="C351" s="66" t="n">
        <f aca="false">SUM(E351:P351)</f>
        <v>1084.45673187572</v>
      </c>
      <c r="D351" s="66" t="n">
        <f aca="false">SUM(Q351:AB351)</f>
        <v>1080</v>
      </c>
      <c r="E351" s="67" t="n">
        <f aca="false">Projects!E12+TM_Media!E15</f>
        <v>133.4</v>
      </c>
      <c r="F351" s="67" t="n">
        <f aca="false">Projects!F12+TM_Media!F15</f>
        <v>51.6</v>
      </c>
      <c r="G351" s="67" t="n">
        <f aca="false">Projects!G12+TM_Media!G15</f>
        <v>96.2</v>
      </c>
      <c r="H351" s="67" t="n">
        <f aca="false">Projects!H12+TM_Media!H15</f>
        <v>91.5</v>
      </c>
      <c r="I351" s="67" t="n">
        <f aca="false">Projects!I12+TM_Media!I15</f>
        <v>99.9</v>
      </c>
      <c r="J351" s="67" t="n">
        <f aca="false">Projects!J12+TM_Media!J15</f>
        <v>86.4</v>
      </c>
      <c r="K351" s="67" t="n">
        <f aca="false">Projects!K12+TM_Media!K15</f>
        <v>64.5</v>
      </c>
      <c r="L351" s="67" t="n">
        <f aca="false">Projects!L12+TM_Media!L15</f>
        <v>90.6</v>
      </c>
      <c r="M351" s="67" t="n">
        <f aca="false">Projects!M12+TM_Media!M15</f>
        <v>98.1818181818182</v>
      </c>
      <c r="N351" s="67" t="n">
        <f aca="false">Projects!N12+TM_Media!N15</f>
        <v>101.910241657077</v>
      </c>
      <c r="O351" s="67" t="n">
        <f aca="false">Projects!O12+TM_Media!O15</f>
        <v>94.4533947065593</v>
      </c>
      <c r="P351" s="67" t="n">
        <f aca="false">Projects!P12+TM_Media!P15</f>
        <v>75.8112773302647</v>
      </c>
      <c r="Q351" s="67" t="n">
        <f aca="false">Projects!Q12+TM_Media!Q15</f>
        <v>94.4533947065593</v>
      </c>
      <c r="R351" s="67" t="n">
        <f aca="false">Projects!R12+TM_Media!R15</f>
        <v>90.7249712313003</v>
      </c>
      <c r="S351" s="67" t="n">
        <f aca="false">Projects!S12+TM_Media!S15</f>
        <v>98.1818181818182</v>
      </c>
      <c r="T351" s="67" t="n">
        <f aca="false">Projects!T12+TM_Media!T15</f>
        <v>93.210586881473</v>
      </c>
      <c r="U351" s="67" t="n">
        <f aca="false">Projects!U12+TM_Media!U15</f>
        <v>93.210586881473</v>
      </c>
      <c r="V351" s="67" t="n">
        <f aca="false">Projects!V12+TM_Media!V15</f>
        <v>85.7537399309551</v>
      </c>
      <c r="W351" s="67" t="n">
        <f aca="false">Projects!W12+TM_Media!W15</f>
        <v>69.5972382048331</v>
      </c>
      <c r="X351" s="67" t="n">
        <f aca="false">Projects!X12+TM_Media!X15</f>
        <v>84.5109321058688</v>
      </c>
      <c r="Y351" s="67" t="n">
        <f aca="false">Projects!Y12+TM_Media!Y15</f>
        <v>98.1818181818182</v>
      </c>
      <c r="Z351" s="67" t="n">
        <f aca="false">Projects!Z12+TM_Media!Z15</f>
        <v>101.910241657077</v>
      </c>
      <c r="AA351" s="67" t="n">
        <f aca="false">Projects!AA12+TM_Media!AA15</f>
        <v>94.4533947065593</v>
      </c>
      <c r="AB351" s="67" t="n">
        <f aca="false">Projects!AB12+TM_Media!AB15</f>
        <v>75.8112773302647</v>
      </c>
    </row>
    <row r="352" customFormat="false" ht="15" hidden="false" customHeight="false" outlineLevel="0" collapsed="false">
      <c r="A352" s="28" t="s">
        <v>709</v>
      </c>
      <c r="B352" s="58" t="s">
        <v>710</v>
      </c>
      <c r="C352" s="59" t="n">
        <f aca="false">SUM(E352:P352)</f>
        <v>59313.3594421746</v>
      </c>
      <c r="D352" s="59" t="n">
        <f aca="false">SUM(Q352:AB352)</f>
        <v>62140.3783291139</v>
      </c>
      <c r="E352" s="60" t="n">
        <f aca="false">Projects!E12*Utilisation!E91+TM_Media!E15*Utilisation!E92</f>
        <v>7059.05273371692</v>
      </c>
      <c r="F352" s="60" t="n">
        <f aca="false">Projects!F12*Utilisation!F91+TM_Media!F15*Utilisation!F92</f>
        <v>2730.48816386651</v>
      </c>
      <c r="G352" s="60" t="n">
        <f aca="false">Projects!G12*Utilisation!G91+TM_Media!G15*Utilisation!G92</f>
        <v>5296.74321749137</v>
      </c>
      <c r="H352" s="60" t="n">
        <f aca="false">Projects!H12*Utilisation!H91+TM_Media!H15*Utilisation!H92</f>
        <v>5037.96262370541</v>
      </c>
      <c r="I352" s="60" t="n">
        <f aca="false">Projects!I12*Utilisation!I91+TM_Media!I15*Utilisation!I92</f>
        <v>5500.46411047181</v>
      </c>
      <c r="J352" s="60" t="n">
        <f aca="false">Projects!J12*Utilisation!J91+TM_Media!J15*Utilisation!J92</f>
        <v>4757.15814959724</v>
      </c>
      <c r="K352" s="60" t="n">
        <f aca="false">Projects!K12*Utilisation!K91+TM_Media!K15*Utilisation!K92</f>
        <v>3551.35070195627</v>
      </c>
      <c r="L352" s="60" t="n">
        <f aca="false">Projects!L12*Utilisation!L91+TM_Media!L15*Utilisation!L92</f>
        <v>4988.40889298044</v>
      </c>
      <c r="M352" s="60" t="n">
        <f aca="false">Projects!M12*Utilisation!M91+TM_Media!M15*Utilisation!M92</f>
        <v>5405.86153363323</v>
      </c>
      <c r="N352" s="60" t="n">
        <f aca="false">Projects!N12*Utilisation!N91+TM_Media!N15*Utilisation!N92</f>
        <v>5611.14741465727</v>
      </c>
      <c r="O352" s="60" t="n">
        <f aca="false">Projects!O12*Utilisation!O91+TM_Media!O15*Utilisation!O92</f>
        <v>5200.57565260918</v>
      </c>
      <c r="P352" s="60" t="n">
        <f aca="false">Projects!P12*Utilisation!P91+TM_Media!P15*Utilisation!P92</f>
        <v>4174.14624748895</v>
      </c>
      <c r="Q352" s="60" t="n">
        <f aca="false">Projects!Q12*Utilisation!Q91+TM_Media!Q15*Utilisation!Q92</f>
        <v>5434.60155697659</v>
      </c>
      <c r="R352" s="60" t="n">
        <f aca="false">Projects!R12*Utilisation!R91+TM_Media!R15*Utilisation!R92</f>
        <v>5220.07781130646</v>
      </c>
      <c r="S352" s="60" t="n">
        <f aca="false">Projects!S12*Utilisation!S91+TM_Media!S15*Utilisation!S92</f>
        <v>5649.12530264672</v>
      </c>
      <c r="T352" s="60" t="n">
        <f aca="false">Projects!T12*Utilisation!T91+TM_Media!T15*Utilisation!T92</f>
        <v>5363.09364175322</v>
      </c>
      <c r="U352" s="60" t="n">
        <f aca="false">Projects!U12*Utilisation!U91+TM_Media!U15*Utilisation!U92</f>
        <v>5363.09364175322</v>
      </c>
      <c r="V352" s="60" t="n">
        <f aca="false">Projects!V12*Utilisation!V91+TM_Media!V15*Utilisation!V92</f>
        <v>4934.04615041296</v>
      </c>
      <c r="W352" s="60" t="n">
        <f aca="false">Projects!W12*Utilisation!W91+TM_Media!W15*Utilisation!W92</f>
        <v>4004.44325250907</v>
      </c>
      <c r="X352" s="60" t="n">
        <f aca="false">Projects!X12*Utilisation!X91+TM_Media!X15*Utilisation!X92</f>
        <v>4862.53823518958</v>
      </c>
      <c r="Y352" s="60" t="n">
        <f aca="false">Projects!Y12*Utilisation!Y91+TM_Media!Y15*Utilisation!Y92</f>
        <v>5649.12530264672</v>
      </c>
      <c r="Z352" s="60" t="n">
        <f aca="false">Projects!Z12*Utilisation!Z91+TM_Media!Z15*Utilisation!Z92</f>
        <v>5863.64904831685</v>
      </c>
      <c r="AA352" s="60" t="n">
        <f aca="false">Projects!AA12*Utilisation!AA91+TM_Media!AA15*Utilisation!AA92</f>
        <v>5434.60155697659</v>
      </c>
      <c r="AB352" s="60" t="n">
        <f aca="false">Projects!AB12*Utilisation!AB91+TM_Media!AB15*Utilisation!AB92</f>
        <v>4361.98282862595</v>
      </c>
    </row>
    <row r="353" customFormat="false" ht="15" hidden="false" customHeight="false" outlineLevel="0" collapsed="false">
      <c r="A353" s="28" t="s">
        <v>711</v>
      </c>
      <c r="B353" s="58" t="s">
        <v>53</v>
      </c>
      <c r="C353" s="59" t="n">
        <f aca="false">SUM(E353:P353)</f>
        <v>0</v>
      </c>
      <c r="D353" s="59" t="n">
        <f aca="false">SUM(Q353:AB353)</f>
        <v>0</v>
      </c>
      <c r="E353" s="71" t="n">
        <f aca="false">0</f>
        <v>0</v>
      </c>
      <c r="F353" s="71" t="n">
        <f aca="false">0</f>
        <v>0</v>
      </c>
      <c r="G353" s="71" t="n">
        <f aca="false">0</f>
        <v>0</v>
      </c>
      <c r="H353" s="71" t="n">
        <f aca="false">0</f>
        <v>0</v>
      </c>
      <c r="I353" s="71" t="n">
        <f aca="false">0</f>
        <v>0</v>
      </c>
      <c r="J353" s="71" t="n">
        <f aca="false">0</f>
        <v>0</v>
      </c>
      <c r="K353" s="71" t="n">
        <f aca="false">0</f>
        <v>0</v>
      </c>
      <c r="L353" s="71" t="n">
        <f aca="false">0</f>
        <v>0</v>
      </c>
      <c r="M353" s="71" t="n">
        <f aca="false">0</f>
        <v>0</v>
      </c>
      <c r="N353" s="71" t="n">
        <f aca="false">0</f>
        <v>0</v>
      </c>
      <c r="O353" s="71" t="n">
        <f aca="false">0</f>
        <v>0</v>
      </c>
      <c r="P353" s="71" t="n">
        <f aca="false">0</f>
        <v>0</v>
      </c>
      <c r="Q353" s="71" t="n">
        <f aca="false">0</f>
        <v>0</v>
      </c>
      <c r="R353" s="71" t="n">
        <f aca="false">0</f>
        <v>0</v>
      </c>
      <c r="S353" s="71" t="n">
        <f aca="false">0</f>
        <v>0</v>
      </c>
      <c r="T353" s="71" t="n">
        <f aca="false">0</f>
        <v>0</v>
      </c>
      <c r="U353" s="71" t="n">
        <f aca="false">0</f>
        <v>0</v>
      </c>
      <c r="V353" s="71" t="n">
        <f aca="false">0</f>
        <v>0</v>
      </c>
      <c r="W353" s="71" t="n">
        <f aca="false">0</f>
        <v>0</v>
      </c>
      <c r="X353" s="71" t="n">
        <f aca="false">0</f>
        <v>0</v>
      </c>
      <c r="Y353" s="71" t="n">
        <f aca="false">0</f>
        <v>0</v>
      </c>
      <c r="Z353" s="71" t="n">
        <f aca="false">0</f>
        <v>0</v>
      </c>
      <c r="AA353" s="71" t="n">
        <f aca="false">0</f>
        <v>0</v>
      </c>
      <c r="AB353" s="71" t="n">
        <f aca="false">0</f>
        <v>0</v>
      </c>
    </row>
    <row r="354" customFormat="false" ht="15" hidden="false" customHeight="false" outlineLevel="0" collapsed="false">
      <c r="A354" s="28" t="s">
        <v>712</v>
      </c>
      <c r="B354" s="58" t="s">
        <v>713</v>
      </c>
      <c r="C354" s="59" t="n">
        <f aca="false">SUM(E354:P354)</f>
        <v>98346.4970636243</v>
      </c>
      <c r="D354" s="59" t="n">
        <f aca="false">SUM(Q354:AB354)</f>
        <v>103560.135617662</v>
      </c>
      <c r="E354" s="60" t="n">
        <f aca="false">Projects!E20+TM_Media!E19+E345+E353+E346</f>
        <v>0</v>
      </c>
      <c r="F354" s="60" t="n">
        <f aca="false">Projects!F20+TM_Media!F19+F345+F353+F346</f>
        <v>22200</v>
      </c>
      <c r="G354" s="60" t="n">
        <f aca="false">Projects!G20+TM_Media!G19+G345+G353+G346</f>
        <v>0</v>
      </c>
      <c r="H354" s="60" t="n">
        <f aca="false">Projects!H20+TM_Media!H19+H345+H353+H346</f>
        <v>8708.37</v>
      </c>
      <c r="I354" s="60" t="n">
        <f aca="false">Projects!I20+TM_Media!I19+I345+I353+I346</f>
        <v>8391.83</v>
      </c>
      <c r="J354" s="60" t="n">
        <f aca="false">Projects!J20+TM_Media!J19+J345+J353+J346</f>
        <v>9298.68</v>
      </c>
      <c r="K354" s="60" t="n">
        <f aca="false">Projects!K20+TM_Media!K19+K345+K353+K346</f>
        <v>8274.35</v>
      </c>
      <c r="L354" s="60" t="n">
        <f aca="false">Projects!L20+TM_Media!L19+L345+L353+L346</f>
        <v>5927.88</v>
      </c>
      <c r="M354" s="60" t="n">
        <f aca="false">Projects!M20+TM_Media!M19+M345+M353+M346</f>
        <v>8314.49</v>
      </c>
      <c r="N354" s="60" t="n">
        <f aca="false">Projects!N20+TM_Media!N19+N345+N353+N346</f>
        <v>9076.96568787478</v>
      </c>
      <c r="O354" s="60" t="n">
        <f aca="false">Projects!O20+TM_Media!O19+O345+O353+O346</f>
        <v>9421.66058741433</v>
      </c>
      <c r="P354" s="60" t="n">
        <f aca="false">Projects!P20+TM_Media!P19+P345+P353+P346</f>
        <v>8732.27078833523</v>
      </c>
      <c r="Q354" s="60" t="n">
        <f aca="false">Projects!Q20+TM_Media!Q19+Q345+Q353+Q346</f>
        <v>7008.79629063749</v>
      </c>
      <c r="R354" s="60" t="n">
        <f aca="false">Projects!R20+TM_Media!R19+R345+R353+R346</f>
        <v>9081.56161986864</v>
      </c>
      <c r="S354" s="60" t="n">
        <f aca="false">Projects!S20+TM_Media!S19+S345+S353+S346</f>
        <v>8723.07892434751</v>
      </c>
      <c r="T354" s="60" t="n">
        <f aca="false">Projects!T20+TM_Media!T19+T345+T353+T346</f>
        <v>9440.04431538977</v>
      </c>
      <c r="U354" s="60" t="n">
        <f aca="false">Projects!U20+TM_Media!U19+U345+U353+U346</f>
        <v>8962.06738802826</v>
      </c>
      <c r="V354" s="60" t="n">
        <f aca="false">Projects!V20+TM_Media!V19+V345+V353+V346</f>
        <v>8962.06738802826</v>
      </c>
      <c r="W354" s="60" t="n">
        <f aca="false">Projects!W20+TM_Media!W19+W345+W353+W346</f>
        <v>8245.101996986</v>
      </c>
      <c r="X354" s="60" t="n">
        <f aca="false">Projects!X20+TM_Media!X19+X345+X353+X346</f>
        <v>6691.6769830611</v>
      </c>
      <c r="Y354" s="60" t="n">
        <f aca="false">Projects!Y20+TM_Media!Y19+Y345+Y353+Y346</f>
        <v>8125.60776514562</v>
      </c>
      <c r="Z354" s="60" t="n">
        <f aca="false">Projects!Z20+TM_Media!Z19+Z345+Z353+Z346</f>
        <v>9440.04431538977</v>
      </c>
      <c r="AA354" s="60" t="n">
        <f aca="false">Projects!AA20+TM_Media!AA19+AA345+AA353+AA346</f>
        <v>9798.5270109109</v>
      </c>
      <c r="AB354" s="60" t="n">
        <f aca="false">Projects!AB20+TM_Media!AB19+AB345+AB353+AB346</f>
        <v>9081.56161986864</v>
      </c>
    </row>
    <row r="355" customFormat="false" ht="15" hidden="false" customHeight="false" outlineLevel="0" collapsed="false">
      <c r="A355" s="28" t="s">
        <v>714</v>
      </c>
      <c r="B355" s="58" t="s">
        <v>715</v>
      </c>
      <c r="C355" s="59" t="n">
        <f aca="false">SUM(E355:P355)</f>
        <v>0</v>
      </c>
      <c r="D355" s="59" t="n">
        <f aca="false">SUM(Q355:AB355)</f>
        <v>0</v>
      </c>
      <c r="E355" s="60" t="n">
        <f aca="false">E354*Client_Register!$F$22</f>
        <v>0</v>
      </c>
      <c r="F355" s="60" t="n">
        <f aca="false">F354*Client_Register!$F$22</f>
        <v>0</v>
      </c>
      <c r="G355" s="60" t="n">
        <f aca="false">G354*Client_Register!$F$22</f>
        <v>0</v>
      </c>
      <c r="H355" s="60" t="n">
        <f aca="false">H354*Client_Register!$F$22</f>
        <v>0</v>
      </c>
      <c r="I355" s="60" t="n">
        <f aca="false">I354*Client_Register!$F$22</f>
        <v>0</v>
      </c>
      <c r="J355" s="60" t="n">
        <f aca="false">J354*Client_Register!$F$22</f>
        <v>0</v>
      </c>
      <c r="K355" s="60" t="n">
        <f aca="false">K354*Client_Register!$F$22</f>
        <v>0</v>
      </c>
      <c r="L355" s="60" t="n">
        <f aca="false">L354*Client_Register!$F$22</f>
        <v>0</v>
      </c>
      <c r="M355" s="60" t="n">
        <f aca="false">M354*Client_Register!$F$22</f>
        <v>0</v>
      </c>
      <c r="N355" s="60" t="n">
        <f aca="false">N354*Client_Register!$F$22</f>
        <v>0</v>
      </c>
      <c r="O355" s="60" t="n">
        <f aca="false">O354*Client_Register!$F$22</f>
        <v>0</v>
      </c>
      <c r="P355" s="60" t="n">
        <f aca="false">P354*Client_Register!$F$22</f>
        <v>0</v>
      </c>
      <c r="Q355" s="60" t="n">
        <f aca="false">Q354*Client_Register!$F$22</f>
        <v>0</v>
      </c>
      <c r="R355" s="60" t="n">
        <f aca="false">R354*Client_Register!$F$22</f>
        <v>0</v>
      </c>
      <c r="S355" s="60" t="n">
        <f aca="false">S354*Client_Register!$F$22</f>
        <v>0</v>
      </c>
      <c r="T355" s="60" t="n">
        <f aca="false">T354*Client_Register!$F$22</f>
        <v>0</v>
      </c>
      <c r="U355" s="60" t="n">
        <f aca="false">U354*Client_Register!$F$22</f>
        <v>0</v>
      </c>
      <c r="V355" s="60" t="n">
        <f aca="false">V354*Client_Register!$F$22</f>
        <v>0</v>
      </c>
      <c r="W355" s="60" t="n">
        <f aca="false">W354*Client_Register!$F$22</f>
        <v>0</v>
      </c>
      <c r="X355" s="60" t="n">
        <f aca="false">X354*Client_Register!$F$22</f>
        <v>0</v>
      </c>
      <c r="Y355" s="60" t="n">
        <f aca="false">Y354*Client_Register!$F$22</f>
        <v>0</v>
      </c>
      <c r="Z355" s="60" t="n">
        <f aca="false">Z354*Client_Register!$F$22</f>
        <v>0</v>
      </c>
      <c r="AA355" s="60" t="n">
        <f aca="false">AA354*Client_Register!$F$22</f>
        <v>0</v>
      </c>
      <c r="AB355" s="60" t="n">
        <f aca="false">AB354*Client_Register!$F$22</f>
        <v>0</v>
      </c>
    </row>
    <row r="356" customFormat="false" ht="15" hidden="false" customHeight="false" outlineLevel="0" collapsed="false">
      <c r="A356" s="68" t="s">
        <v>716</v>
      </c>
      <c r="B356" s="69"/>
      <c r="C356" s="70" t="n">
        <f aca="false">SUM(E356:P356)</f>
        <v>98346.4970636243</v>
      </c>
      <c r="D356" s="70" t="n">
        <f aca="false">SUM(Q356:AB356)</f>
        <v>103560.135617662</v>
      </c>
      <c r="E356" s="70" t="n">
        <f aca="false">E354+E355</f>
        <v>0</v>
      </c>
      <c r="F356" s="70" t="n">
        <f aca="false">F354+F355</f>
        <v>22200</v>
      </c>
      <c r="G356" s="70" t="n">
        <f aca="false">G354+G355</f>
        <v>0</v>
      </c>
      <c r="H356" s="70" t="n">
        <f aca="false">H354+H355</f>
        <v>8708.37</v>
      </c>
      <c r="I356" s="70" t="n">
        <f aca="false">I354+I355</f>
        <v>8391.83</v>
      </c>
      <c r="J356" s="70" t="n">
        <f aca="false">J354+J355</f>
        <v>9298.68</v>
      </c>
      <c r="K356" s="70" t="n">
        <f aca="false">K354+K355</f>
        <v>8274.35</v>
      </c>
      <c r="L356" s="70" t="n">
        <f aca="false">L354+L355</f>
        <v>5927.88</v>
      </c>
      <c r="M356" s="70" t="n">
        <f aca="false">M354+M355</f>
        <v>8314.49</v>
      </c>
      <c r="N356" s="70" t="n">
        <f aca="false">N354+N355</f>
        <v>9076.96568787478</v>
      </c>
      <c r="O356" s="70" t="n">
        <f aca="false">O354+O355</f>
        <v>9421.66058741433</v>
      </c>
      <c r="P356" s="70" t="n">
        <f aca="false">P354+P355</f>
        <v>8732.27078833523</v>
      </c>
      <c r="Q356" s="70" t="n">
        <f aca="false">Q354+Q355</f>
        <v>7008.79629063749</v>
      </c>
      <c r="R356" s="70" t="n">
        <f aca="false">R354+R355</f>
        <v>9081.56161986864</v>
      </c>
      <c r="S356" s="70" t="n">
        <f aca="false">S354+S355</f>
        <v>8723.07892434751</v>
      </c>
      <c r="T356" s="70" t="n">
        <f aca="false">T354+T355</f>
        <v>9440.04431538977</v>
      </c>
      <c r="U356" s="70" t="n">
        <f aca="false">U354+U355</f>
        <v>8962.06738802826</v>
      </c>
      <c r="V356" s="70" t="n">
        <f aca="false">V354+V355</f>
        <v>8962.06738802826</v>
      </c>
      <c r="W356" s="70" t="n">
        <f aca="false">W354+W355</f>
        <v>8245.101996986</v>
      </c>
      <c r="X356" s="70" t="n">
        <f aca="false">X354+X355</f>
        <v>6691.6769830611</v>
      </c>
      <c r="Y356" s="70" t="n">
        <f aca="false">Y354+Y355</f>
        <v>8125.60776514562</v>
      </c>
      <c r="Z356" s="70" t="n">
        <f aca="false">Z354+Z355</f>
        <v>9440.04431538977</v>
      </c>
      <c r="AA356" s="70" t="n">
        <f aca="false">AA354+AA355</f>
        <v>9798.5270109109</v>
      </c>
      <c r="AB356" s="70" t="n">
        <f aca="false">AB354+AB355</f>
        <v>9081.56161986864</v>
      </c>
    </row>
    <row r="357" customFormat="false" ht="15" hidden="false" customHeight="false" outlineLevel="0" collapsed="false">
      <c r="A357" s="28" t="s">
        <v>717</v>
      </c>
      <c r="B357" s="58" t="s">
        <v>718</v>
      </c>
      <c r="C357" s="59" t="n">
        <f aca="false">SUM(E357:P357)</f>
        <v>89614.2262752891</v>
      </c>
      <c r="D357" s="59" t="n">
        <f aca="false">SUM(Q357:AB357)</f>
        <v>103210.844786129</v>
      </c>
      <c r="E357" s="60" t="n">
        <f aca="false">IF(E$5="A",Inputs_Actuals!E128,Client_Register!$T$22+E356-(E356*MIN(1,Client_Register!$J$22/30)+0*MIN(1,MAX(0,(Client_Register!$J$22-30)/30))+0*MIN(1,MAX(0,(Client_Register!$J$22-60)/30))))</f>
        <v>0</v>
      </c>
      <c r="F357" s="60" t="n">
        <f aca="false">IF(F$5="A",Inputs_Actuals!F128,E358+F356-(F356*MIN(1,Client_Register!$J$22/30)+E356*MIN(1,MAX(0,(Client_Register!$J$22-30)/30))+0*MIN(1,MAX(0,(Client_Register!$J$22-60)/30))))</f>
        <v>1693.13</v>
      </c>
      <c r="G357" s="60" t="n">
        <f aca="false">IF(G$5="A",Inputs_Actuals!G128,F358+G356-(G356*MIN(1,Client_Register!$J$22/30)+F356*MIN(1,MAX(0,(Client_Register!$J$22-30)/30))+E356*MIN(1,MAX(0,(Client_Register!$J$22-60)/30))))</f>
        <v>20506.87</v>
      </c>
      <c r="H357" s="60" t="n">
        <f aca="false">IF(H$5="A",Inputs_Actuals!H128,G358+H356-(H356*MIN(1,Client_Register!$J$22/30)+G356*MIN(1,MAX(0,(Client_Register!$J$22-30)/30))+F356*MIN(1,MAX(0,(Client_Register!$J$22-60)/30))))</f>
        <v>-317.13</v>
      </c>
      <c r="I357" s="60" t="n">
        <f aca="false">IF(I$5="A",Inputs_Actuals!I128,H358+I356-(I356*MIN(1,Client_Register!$J$22/30)+H356*MIN(1,MAX(0,(Client_Register!$J$22-30)/30))+G356*MIN(1,MAX(0,(Client_Register!$J$22-60)/30))))</f>
        <v>9866.63</v>
      </c>
      <c r="J357" s="60" t="n">
        <f aca="false">IF(J$5="A",Inputs_Actuals!J128,I358+J356-(J356*MIN(1,Client_Register!$J$22/30)+I356*MIN(1,MAX(0,(Client_Register!$J$22-30)/30))+H356*MIN(1,MAX(0,(Client_Register!$J$22-60)/30))))</f>
        <v>8030.82</v>
      </c>
      <c r="K357" s="60" t="n">
        <f aca="false">IF(K$5="A",Inputs_Actuals!K128,J358+K356-(K356*MIN(1,Client_Register!$J$22/30)+J356*MIN(1,MAX(0,(Client_Register!$J$22-30)/30))+I356*MIN(1,MAX(0,(Client_Register!$J$22-60)/30))))</f>
        <v>9454.63</v>
      </c>
      <c r="L357" s="60" t="n">
        <f aca="false">IF(L$5="A",Inputs_Actuals!L128,K358+L356-(L356*MIN(1,Client_Register!$J$22/30)+K356*MIN(1,MAX(0,(Client_Register!$J$22-30)/30))+J356*MIN(1,MAX(0,(Client_Register!$J$22-60)/30))))</f>
        <v>7698.71</v>
      </c>
      <c r="M357" s="60" t="n">
        <f aca="false">IF(M$5="A",Inputs_Actuals!M128,L358+M356-(M356*MIN(1,Client_Register!$J$22/30)+L356*MIN(1,MAX(0,(Client_Register!$J$22-30)/30))+K356*MIN(1,MAX(0,(Client_Register!$J$22-60)/30))))</f>
        <v>5867.45</v>
      </c>
      <c r="N357" s="60" t="n">
        <f aca="false">IF(N$5="A",Inputs_Actuals!N128,M358+N356-(N356*MIN(1,Client_Register!$J$22/30)+M356*MIN(1,MAX(0,(Client_Register!$J$22-30)/30))+L356*MIN(1,MAX(0,(Client_Register!$J$22-60)/30))))</f>
        <v>8314.49</v>
      </c>
      <c r="O357" s="60" t="n">
        <f aca="false">IF(O$5="A",Inputs_Actuals!O128,N358+O356-(O356*MIN(1,Client_Register!$J$22/30)+N356*MIN(1,MAX(0,(Client_Register!$J$22-30)/30))+M356*MIN(1,MAX(0,(Client_Register!$J$22-60)/30))))</f>
        <v>9076.96568787478</v>
      </c>
      <c r="P357" s="60" t="n">
        <f aca="false">IF(P$5="A",Inputs_Actuals!P128,O358+P356-(P356*MIN(1,Client_Register!$J$22/30)+O356*MIN(1,MAX(0,(Client_Register!$J$22-30)/30))+N356*MIN(1,MAX(0,(Client_Register!$J$22-60)/30))))</f>
        <v>9421.66058741433</v>
      </c>
      <c r="Q357" s="60" t="n">
        <f aca="false">IF(Q$5="A",Inputs_Actuals!Q128,P358+Q356-(Q356*MIN(1,Client_Register!$J$22/30)+P356*MIN(1,MAX(0,(Client_Register!$J$22-30)/30))+O356*MIN(1,MAX(0,(Client_Register!$J$22-60)/30))))</f>
        <v>8732.27078833523</v>
      </c>
      <c r="R357" s="60" t="n">
        <f aca="false">IF(R$5="A",Inputs_Actuals!R128,Q358+R356-(R356*MIN(1,Client_Register!$J$22/30)+Q356*MIN(1,MAX(0,(Client_Register!$J$22-30)/30))+P356*MIN(1,MAX(0,(Client_Register!$J$22-60)/30))))</f>
        <v>7008.79629063749</v>
      </c>
      <c r="S357" s="60" t="n">
        <f aca="false">IF(S$5="A",Inputs_Actuals!S128,R358+S356-(S356*MIN(1,Client_Register!$J$22/30)+R356*MIN(1,MAX(0,(Client_Register!$J$22-30)/30))+Q356*MIN(1,MAX(0,(Client_Register!$J$22-60)/30))))</f>
        <v>9081.56161986864</v>
      </c>
      <c r="T357" s="60" t="n">
        <f aca="false">IF(T$5="A",Inputs_Actuals!T128,S358+T356-(T356*MIN(1,Client_Register!$J$22/30)+S356*MIN(1,MAX(0,(Client_Register!$J$22-30)/30))+R356*MIN(1,MAX(0,(Client_Register!$J$22-60)/30))))</f>
        <v>8723.07892434751</v>
      </c>
      <c r="U357" s="60" t="n">
        <f aca="false">IF(U$5="A",Inputs_Actuals!U128,T358+U356-(U356*MIN(1,Client_Register!$J$22/30)+T356*MIN(1,MAX(0,(Client_Register!$J$22-30)/30))+S356*MIN(1,MAX(0,(Client_Register!$J$22-60)/30))))</f>
        <v>9440.04431538977</v>
      </c>
      <c r="V357" s="60" t="n">
        <f aca="false">IF(V$5="A",Inputs_Actuals!V128,U358+V356-(V356*MIN(1,Client_Register!$J$22/30)+U356*MIN(1,MAX(0,(Client_Register!$J$22-30)/30))+T356*MIN(1,MAX(0,(Client_Register!$J$22-60)/30))))</f>
        <v>8962.06738802826</v>
      </c>
      <c r="W357" s="60" t="n">
        <f aca="false">IF(W$5="A",Inputs_Actuals!W128,V358+W356-(W356*MIN(1,Client_Register!$J$22/30)+V356*MIN(1,MAX(0,(Client_Register!$J$22-30)/30))+U356*MIN(1,MAX(0,(Client_Register!$J$22-60)/30))))</f>
        <v>8962.06738802826</v>
      </c>
      <c r="X357" s="60" t="n">
        <f aca="false">IF(X$5="A",Inputs_Actuals!X128,W358+X356-(X356*MIN(1,Client_Register!$J$22/30)+W356*MIN(1,MAX(0,(Client_Register!$J$22-30)/30))+V356*MIN(1,MAX(0,(Client_Register!$J$22-60)/30))))</f>
        <v>8245.101996986</v>
      </c>
      <c r="Y357" s="60" t="n">
        <f aca="false">IF(Y$5="A",Inputs_Actuals!Y128,X358+Y356-(Y356*MIN(1,Client_Register!$J$22/30)+X356*MIN(1,MAX(0,(Client_Register!$J$22-30)/30))+W356*MIN(1,MAX(0,(Client_Register!$J$22-60)/30))))</f>
        <v>6691.6769830611</v>
      </c>
      <c r="Z357" s="60" t="n">
        <f aca="false">IF(Z$5="A",Inputs_Actuals!Z128,Y358+Z356-(Z356*MIN(1,Client_Register!$J$22/30)+Y356*MIN(1,MAX(0,(Client_Register!$J$22-30)/30))+X356*MIN(1,MAX(0,(Client_Register!$J$22-60)/30))))</f>
        <v>8125.60776514563</v>
      </c>
      <c r="AA357" s="60" t="n">
        <f aca="false">IF(AA$5="A",Inputs_Actuals!AA128,Z358+AA356-(AA356*MIN(1,Client_Register!$J$22/30)+Z356*MIN(1,MAX(0,(Client_Register!$J$22-30)/30))+Y356*MIN(1,MAX(0,(Client_Register!$J$22-60)/30))))</f>
        <v>9440.04431538977</v>
      </c>
      <c r="AB357" s="60" t="n">
        <f aca="false">IF(AB$5="A",Inputs_Actuals!AB128,AA358+AB356-(AB356*MIN(1,Client_Register!$J$22/30)+AA356*MIN(1,MAX(0,(Client_Register!$J$22-30)/30))+Z356*MIN(1,MAX(0,(Client_Register!$J$22-60)/30))))</f>
        <v>9798.5270109109</v>
      </c>
    </row>
    <row r="358" customFormat="false" ht="15" hidden="false" customHeight="false" outlineLevel="0" collapsed="false">
      <c r="A358" s="68" t="s">
        <v>719</v>
      </c>
      <c r="B358" s="69" t="s">
        <v>720</v>
      </c>
      <c r="C358" s="70" t="n">
        <f aca="false">P358</f>
        <v>8732.27078833523</v>
      </c>
      <c r="D358" s="70" t="n">
        <f aca="false">AB358</f>
        <v>9081.56161986864</v>
      </c>
      <c r="E358" s="74" t="n">
        <f aca="false">Client_Register!$T$22+E356-E357</f>
        <v>0</v>
      </c>
      <c r="F358" s="70" t="n">
        <f aca="false">E358+F356-F357</f>
        <v>20506.87</v>
      </c>
      <c r="G358" s="70" t="n">
        <f aca="false">F358+G356-G357</f>
        <v>0</v>
      </c>
      <c r="H358" s="70" t="n">
        <f aca="false">G358+H356-H357</f>
        <v>9025.5</v>
      </c>
      <c r="I358" s="70" t="n">
        <f aca="false">H358+I356-I357</f>
        <v>7550.7</v>
      </c>
      <c r="J358" s="70" t="n">
        <f aca="false">I358+J356-J357</f>
        <v>8818.56000000001</v>
      </c>
      <c r="K358" s="70" t="n">
        <f aca="false">J358+K356-K357</f>
        <v>7638.28</v>
      </c>
      <c r="L358" s="70" t="n">
        <f aca="false">K358+L356-L357</f>
        <v>5867.45</v>
      </c>
      <c r="M358" s="70" t="n">
        <f aca="false">L358+M356-M357</f>
        <v>8314.49</v>
      </c>
      <c r="N358" s="70" t="n">
        <f aca="false">M358+N356-N357</f>
        <v>9076.96568787478</v>
      </c>
      <c r="O358" s="70" t="n">
        <f aca="false">N358+O356-O357</f>
        <v>9421.66058741433</v>
      </c>
      <c r="P358" s="70" t="n">
        <f aca="false">O358+P356-P357</f>
        <v>8732.27078833523</v>
      </c>
      <c r="Q358" s="70" t="n">
        <f aca="false">P358+Q356-Q357</f>
        <v>7008.79629063749</v>
      </c>
      <c r="R358" s="70" t="n">
        <f aca="false">Q358+R356-R357</f>
        <v>9081.56161986864</v>
      </c>
      <c r="S358" s="70" t="n">
        <f aca="false">R358+S356-S357</f>
        <v>8723.07892434751</v>
      </c>
      <c r="T358" s="70" t="n">
        <f aca="false">S358+T356-T357</f>
        <v>9440.04431538977</v>
      </c>
      <c r="U358" s="70" t="n">
        <f aca="false">T358+U356-U357</f>
        <v>8962.06738802826</v>
      </c>
      <c r="V358" s="70" t="n">
        <f aca="false">U358+V356-V357</f>
        <v>8962.06738802826</v>
      </c>
      <c r="W358" s="70" t="n">
        <f aca="false">V358+W356-W357</f>
        <v>8245.101996986</v>
      </c>
      <c r="X358" s="70" t="n">
        <f aca="false">W358+X356-X357</f>
        <v>6691.6769830611</v>
      </c>
      <c r="Y358" s="70" t="n">
        <f aca="false">X358+Y356-Y357</f>
        <v>8125.60776514562</v>
      </c>
      <c r="Z358" s="70" t="n">
        <f aca="false">Y358+Z356-Z357</f>
        <v>9440.04431538977</v>
      </c>
      <c r="AA358" s="70" t="n">
        <f aca="false">Z358+AA356-AA357</f>
        <v>9798.5270109109</v>
      </c>
      <c r="AB358" s="70" t="n">
        <f aca="false">AA358+AB356-AB357</f>
        <v>9081.56161986864</v>
      </c>
    </row>
    <row r="359" customFormat="false" ht="15" hidden="false" customHeight="false" outlineLevel="0" collapsed="false">
      <c r="A359" s="28" t="s">
        <v>721</v>
      </c>
      <c r="B359" s="58" t="s">
        <v>722</v>
      </c>
      <c r="C359" s="59" t="n">
        <f aca="false">P359</f>
        <v>7008.79629063749</v>
      </c>
      <c r="D359" s="59" t="n">
        <f aca="false">AB359</f>
        <v>7289.14814226299</v>
      </c>
      <c r="E359" s="60" t="n">
        <f aca="false">Client_Register!$U$22+E347-(E354-E353)</f>
        <v>17366.58</v>
      </c>
      <c r="F359" s="71" t="n">
        <f aca="false">E359+F347-(F354-F353)</f>
        <v>0</v>
      </c>
      <c r="G359" s="71" t="n">
        <f aca="false">F359+G347-(G354-G353)</f>
        <v>8708.37</v>
      </c>
      <c r="H359" s="71" t="n">
        <f aca="false">G359+H347-(H354-H353)</f>
        <v>8391.83</v>
      </c>
      <c r="I359" s="71" t="n">
        <f aca="false">H359+I347-(I354-I353)</f>
        <v>9298.68</v>
      </c>
      <c r="J359" s="71" t="n">
        <f aca="false">I359+J347-(J354-J353)</f>
        <v>8274.35</v>
      </c>
      <c r="K359" s="71" t="n">
        <f aca="false">J359+K347-(K354-K353)</f>
        <v>5927.88</v>
      </c>
      <c r="L359" s="71" t="n">
        <f aca="false">K359+L347-(L354-L353)</f>
        <v>8314.49</v>
      </c>
      <c r="M359" s="71" t="n">
        <f aca="false">L359+M347-(M354-M353)</f>
        <v>9076.96568787478</v>
      </c>
      <c r="N359" s="71" t="n">
        <f aca="false">M359+N347-(N354-N353)</f>
        <v>9421.66058741433</v>
      </c>
      <c r="O359" s="71" t="n">
        <f aca="false">N359+O347-(O354-O353)</f>
        <v>8732.27078833523</v>
      </c>
      <c r="P359" s="71" t="n">
        <f aca="false">O359+P347-(P354-P353)</f>
        <v>7008.79629063749</v>
      </c>
      <c r="Q359" s="71" t="n">
        <f aca="false">P359+Q347-(Q354-Q353)</f>
        <v>9081.56161986864</v>
      </c>
      <c r="R359" s="71" t="n">
        <f aca="false">Q359+R347-(R354-R353)</f>
        <v>8723.07892434751</v>
      </c>
      <c r="S359" s="71" t="n">
        <f aca="false">R359+S347-(S354-S353)</f>
        <v>9440.04431538977</v>
      </c>
      <c r="T359" s="71" t="n">
        <f aca="false">S359+T347-(T354-T353)</f>
        <v>8962.06738802827</v>
      </c>
      <c r="U359" s="71" t="n">
        <f aca="false">T359+U347-(U354-U353)</f>
        <v>8962.06738802827</v>
      </c>
      <c r="V359" s="71" t="n">
        <f aca="false">U359+V347-(V354-V353)</f>
        <v>8245.101996986</v>
      </c>
      <c r="W359" s="71" t="n">
        <f aca="false">V359+W347-(W354-W353)</f>
        <v>6691.67698306111</v>
      </c>
      <c r="X359" s="71" t="n">
        <f aca="false">W359+X347-(X354-X353)</f>
        <v>8125.60776514563</v>
      </c>
      <c r="Y359" s="71" t="n">
        <f aca="false">X359+Y347-(Y354-Y353)</f>
        <v>9440.04431538977</v>
      </c>
      <c r="Z359" s="71" t="n">
        <f aca="false">Y359+Z347-(Z354-Z353)</f>
        <v>9798.5270109109</v>
      </c>
      <c r="AA359" s="71" t="n">
        <f aca="false">Z359+AA347-(AA354-AA353)</f>
        <v>9081.56161986864</v>
      </c>
      <c r="AB359" s="71" t="n">
        <f aca="false">AA359+AB347-(AB354-AB353)</f>
        <v>7289.14814226299</v>
      </c>
    </row>
    <row r="360" customFormat="false" ht="15" hidden="false" customHeight="false" outlineLevel="0" collapsed="false">
      <c r="A360" s="28" t="s">
        <v>723</v>
      </c>
      <c r="B360" s="58"/>
      <c r="C360" s="59" t="n">
        <f aca="false">P360</f>
        <v>8732.27078833523</v>
      </c>
      <c r="D360" s="59" t="n">
        <f aca="false">AB360</f>
        <v>9081.56161986864</v>
      </c>
      <c r="E360" s="71" t="n">
        <f aca="false">E358/1</f>
        <v>0</v>
      </c>
      <c r="F360" s="71" t="n">
        <f aca="false">F358/1</f>
        <v>20506.87</v>
      </c>
      <c r="G360" s="71" t="n">
        <f aca="false">G358/1</f>
        <v>0</v>
      </c>
      <c r="H360" s="71" t="n">
        <f aca="false">H358/1</f>
        <v>9025.5</v>
      </c>
      <c r="I360" s="71" t="n">
        <f aca="false">I358/1</f>
        <v>7550.7</v>
      </c>
      <c r="J360" s="71" t="n">
        <f aca="false">J358/1</f>
        <v>8818.56000000001</v>
      </c>
      <c r="K360" s="71" t="n">
        <f aca="false">K358/1</f>
        <v>7638.28</v>
      </c>
      <c r="L360" s="71" t="n">
        <f aca="false">L358/1</f>
        <v>5867.45</v>
      </c>
      <c r="M360" s="71" t="n">
        <f aca="false">M358/1</f>
        <v>8314.49</v>
      </c>
      <c r="N360" s="71" t="n">
        <f aca="false">N358/1</f>
        <v>9076.96568787478</v>
      </c>
      <c r="O360" s="71" t="n">
        <f aca="false">O358/1</f>
        <v>9421.66058741433</v>
      </c>
      <c r="P360" s="71" t="n">
        <f aca="false">P358/1</f>
        <v>8732.27078833523</v>
      </c>
      <c r="Q360" s="71" t="n">
        <f aca="false">Q358/1</f>
        <v>7008.79629063749</v>
      </c>
      <c r="R360" s="71" t="n">
        <f aca="false">R358/1</f>
        <v>9081.56161986864</v>
      </c>
      <c r="S360" s="71" t="n">
        <f aca="false">S358/1</f>
        <v>8723.07892434751</v>
      </c>
      <c r="T360" s="71" t="n">
        <f aca="false">T358/1</f>
        <v>9440.04431538977</v>
      </c>
      <c r="U360" s="71" t="n">
        <f aca="false">U358/1</f>
        <v>8962.06738802826</v>
      </c>
      <c r="V360" s="71" t="n">
        <f aca="false">V358/1</f>
        <v>8962.06738802826</v>
      </c>
      <c r="W360" s="71" t="n">
        <f aca="false">W358/1</f>
        <v>8245.101996986</v>
      </c>
      <c r="X360" s="71" t="n">
        <f aca="false">X358/1</f>
        <v>6691.6769830611</v>
      </c>
      <c r="Y360" s="71" t="n">
        <f aca="false">Y358/1</f>
        <v>8125.60776514562</v>
      </c>
      <c r="Z360" s="71" t="n">
        <f aca="false">Z358/1</f>
        <v>9440.04431538977</v>
      </c>
      <c r="AA360" s="71" t="n">
        <f aca="false">AA358/1</f>
        <v>9798.5270109109</v>
      </c>
      <c r="AB360" s="71" t="n">
        <f aca="false">AB358/1</f>
        <v>9081.56161986864</v>
      </c>
    </row>
    <row r="361" customFormat="false" ht="15" hidden="false" customHeight="false" outlineLevel="0" collapsed="false">
      <c r="A361" s="28" t="s">
        <v>724</v>
      </c>
      <c r="B361" s="58"/>
      <c r="C361" s="66" t="n">
        <f aca="false">P361</f>
        <v>29.2455696202532</v>
      </c>
      <c r="D361" s="66" t="n">
        <f aca="false">AB361</f>
        <v>29.2455696202532</v>
      </c>
      <c r="E361" s="72" t="n">
        <f aca="false">IFERROR(E358/AVERAGE(E356:E356)*30.4,0)</f>
        <v>0</v>
      </c>
      <c r="F361" s="72" t="n">
        <f aca="false">IFERROR(F358/AVERAGE(E356:F356)*30.4,0)</f>
        <v>56.1629592792793</v>
      </c>
      <c r="G361" s="72" t="n">
        <f aca="false">IFERROR(G358/AVERAGE(E356:G356)*30.4,0)</f>
        <v>0</v>
      </c>
      <c r="H361" s="72" t="n">
        <f aca="false">IFERROR(H358/AVERAGE(F356:H356)*30.4,0)</f>
        <v>26.6311552501798</v>
      </c>
      <c r="I361" s="72" t="n">
        <f aca="false">IFERROR(I358/AVERAGE(G356:I356)*30.4,0)</f>
        <v>40.2699290066783</v>
      </c>
      <c r="J361" s="72" t="n">
        <f aca="false">IFERROR(J358/AVERAGE(H356:J356)*30.4,0)</f>
        <v>30.4654088355264</v>
      </c>
      <c r="K361" s="72" t="n">
        <f aca="false">IFERROR(K358/AVERAGE(I356:K356)*30.4,0)</f>
        <v>26.8289964205469</v>
      </c>
      <c r="L361" s="72" t="n">
        <f aca="false">IFERROR(L358/AVERAGE(J356:L356)*30.4,0)</f>
        <v>22.7698178496067</v>
      </c>
      <c r="M361" s="72" t="n">
        <f aca="false">IFERROR(M358/AVERAGE(K356:M356)*30.4,0)</f>
        <v>33.6763741788324</v>
      </c>
      <c r="N361" s="72" t="n">
        <f aca="false">IFERROR(N358/AVERAGE(L356:N356)*30.4,0)</f>
        <v>35.4992647223916</v>
      </c>
      <c r="O361" s="72" t="n">
        <f aca="false">IFERROR(O358/AVERAGE(M356:O356)*30.4,0)</f>
        <v>32.0460865775633</v>
      </c>
      <c r="P361" s="72" t="n">
        <f aca="false">IFERROR(P358/AVERAGE(N356:P356)*30.4,0)</f>
        <v>29.2455696202532</v>
      </c>
      <c r="Q361" s="72" t="n">
        <f aca="false">IFERROR(Q358/AVERAGE(O356:Q356)*30.4,0)</f>
        <v>25.4027397260274</v>
      </c>
      <c r="R361" s="72" t="n">
        <f aca="false">IFERROR(R358/AVERAGE(P356:R356)*30.4,0)</f>
        <v>33.3662655063877</v>
      </c>
      <c r="S361" s="72" t="n">
        <f aca="false">IFERROR(S358/AVERAGE(Q356:S356)*30.4,0)</f>
        <v>32.0610483422856</v>
      </c>
      <c r="T361" s="72" t="n">
        <f aca="false">IFERROR(T358/AVERAGE(R356:T356)*30.4,0)</f>
        <v>31.6</v>
      </c>
      <c r="U361" s="72" t="n">
        <f aca="false">IFERROR(U358/AVERAGE(S356:U356)*30.4,0)</f>
        <v>30.1321585903084</v>
      </c>
      <c r="V361" s="72" t="n">
        <f aca="false">IFERROR(V358/AVERAGE(T356:V356)*30.4,0)</f>
        <v>29.8689956331878</v>
      </c>
      <c r="W361" s="72" t="n">
        <f aca="false">IFERROR(W358/AVERAGE(U356:W356)*30.4,0)</f>
        <v>28.7342465753425</v>
      </c>
      <c r="X361" s="72" t="n">
        <f aca="false">IFERROR(X358/AVERAGE(V356:X356)*30.4,0)</f>
        <v>25.536</v>
      </c>
      <c r="Y361" s="72" t="n">
        <f aca="false">IFERROR(Y358/AVERAGE(W356:Y356)*30.4,0)</f>
        <v>32.1326424870466</v>
      </c>
      <c r="Z361" s="72" t="n">
        <f aca="false">IFERROR(Z358/AVERAGE(X356:Z356)*30.4,0)</f>
        <v>35.4916256157635</v>
      </c>
      <c r="AA361" s="72" t="n">
        <f aca="false">IFERROR(AA358/AVERAGE(Y356:AA356)*30.4,0)</f>
        <v>32.656768558952</v>
      </c>
      <c r="AB361" s="72" t="n">
        <f aca="false">IFERROR(AB358/AVERAGE(Z356:AB356)*30.4,0)</f>
        <v>29.2455696202532</v>
      </c>
    </row>
    <row r="363" customFormat="false" ht="15" hidden="false" customHeight="false" outlineLevel="0" collapsed="false">
      <c r="A363" s="22" t="s">
        <v>749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row>
    <row r="364" customFormat="false" ht="15" hidden="false" customHeight="false" outlineLevel="0" collapsed="false">
      <c r="A364" s="28" t="s">
        <v>331</v>
      </c>
      <c r="B364" s="58" t="s">
        <v>49</v>
      </c>
      <c r="C364" s="59" t="n">
        <f aca="false">SUM(E364:P364)</f>
        <v>108000</v>
      </c>
      <c r="D364" s="59" t="n">
        <f aca="false">SUM(Q364:AB364)</f>
        <v>106704</v>
      </c>
      <c r="E364" s="60" t="n">
        <f aca="false">Retainers!E110</f>
        <v>9000</v>
      </c>
      <c r="F364" s="60" t="n">
        <f aca="false">Retainers!F110</f>
        <v>9000</v>
      </c>
      <c r="G364" s="60" t="n">
        <f aca="false">Retainers!G110</f>
        <v>9000</v>
      </c>
      <c r="H364" s="60" t="n">
        <f aca="false">Retainers!H110</f>
        <v>9000</v>
      </c>
      <c r="I364" s="60" t="n">
        <f aca="false">Retainers!I110</f>
        <v>9000</v>
      </c>
      <c r="J364" s="60" t="n">
        <f aca="false">Retainers!J110</f>
        <v>9000</v>
      </c>
      <c r="K364" s="60" t="n">
        <f aca="false">Retainers!K110</f>
        <v>9000</v>
      </c>
      <c r="L364" s="60" t="n">
        <f aca="false">Retainers!L110</f>
        <v>9000</v>
      </c>
      <c r="M364" s="60" t="n">
        <f aca="false">Retainers!M110</f>
        <v>9000</v>
      </c>
      <c r="N364" s="60" t="n">
        <f aca="false">Retainers!N110</f>
        <v>9000</v>
      </c>
      <c r="O364" s="60" t="n">
        <f aca="false">Retainers!O110</f>
        <v>9000</v>
      </c>
      <c r="P364" s="60" t="n">
        <f aca="false">Retainers!P110</f>
        <v>9000</v>
      </c>
      <c r="Q364" s="60" t="n">
        <f aca="false">Retainers!Q110</f>
        <v>8892</v>
      </c>
      <c r="R364" s="60" t="n">
        <f aca="false">Retainers!R110</f>
        <v>8892</v>
      </c>
      <c r="S364" s="60" t="n">
        <f aca="false">Retainers!S110</f>
        <v>8892</v>
      </c>
      <c r="T364" s="60" t="n">
        <f aca="false">Retainers!T110</f>
        <v>8892</v>
      </c>
      <c r="U364" s="60" t="n">
        <f aca="false">Retainers!U110</f>
        <v>8892</v>
      </c>
      <c r="V364" s="60" t="n">
        <f aca="false">Retainers!V110</f>
        <v>8892</v>
      </c>
      <c r="W364" s="60" t="n">
        <f aca="false">Retainers!W110</f>
        <v>8892</v>
      </c>
      <c r="X364" s="60" t="n">
        <f aca="false">Retainers!X110</f>
        <v>8892</v>
      </c>
      <c r="Y364" s="60" t="n">
        <f aca="false">Retainers!Y110</f>
        <v>8892</v>
      </c>
      <c r="Z364" s="60" t="n">
        <f aca="false">Retainers!Z110</f>
        <v>8892</v>
      </c>
      <c r="AA364" s="60" t="n">
        <f aca="false">Retainers!AA110</f>
        <v>8892</v>
      </c>
      <c r="AB364" s="60" t="n">
        <f aca="false">Retainers!AB110</f>
        <v>8892</v>
      </c>
    </row>
    <row r="365" customFormat="false" ht="15" hidden="false" customHeight="false" outlineLevel="0" collapsed="false">
      <c r="A365" s="28" t="s">
        <v>700</v>
      </c>
      <c r="B365" s="58" t="s">
        <v>51</v>
      </c>
      <c r="C365" s="59" t="n">
        <f aca="false">SUM(E365:P365)</f>
        <v>0</v>
      </c>
      <c r="D365" s="59" t="n">
        <f aca="false">SUM(Q365:AB365)</f>
        <v>0</v>
      </c>
      <c r="E365" s="71" t="n">
        <f aca="false">0</f>
        <v>0</v>
      </c>
      <c r="F365" s="71" t="n">
        <f aca="false">0</f>
        <v>0</v>
      </c>
      <c r="G365" s="71" t="n">
        <f aca="false">0</f>
        <v>0</v>
      </c>
      <c r="H365" s="71" t="n">
        <f aca="false">0</f>
        <v>0</v>
      </c>
      <c r="I365" s="71" t="n">
        <f aca="false">0</f>
        <v>0</v>
      </c>
      <c r="J365" s="71" t="n">
        <f aca="false">0</f>
        <v>0</v>
      </c>
      <c r="K365" s="71" t="n">
        <f aca="false">0</f>
        <v>0</v>
      </c>
      <c r="L365" s="71" t="n">
        <f aca="false">0</f>
        <v>0</v>
      </c>
      <c r="M365" s="71" t="n">
        <f aca="false">0</f>
        <v>0</v>
      </c>
      <c r="N365" s="71" t="n">
        <f aca="false">0</f>
        <v>0</v>
      </c>
      <c r="O365" s="71" t="n">
        <f aca="false">0</f>
        <v>0</v>
      </c>
      <c r="P365" s="71" t="n">
        <f aca="false">0</f>
        <v>0</v>
      </c>
      <c r="Q365" s="71" t="n">
        <f aca="false">0</f>
        <v>0</v>
      </c>
      <c r="R365" s="71" t="n">
        <f aca="false">0</f>
        <v>0</v>
      </c>
      <c r="S365" s="71" t="n">
        <f aca="false">0</f>
        <v>0</v>
      </c>
      <c r="T365" s="71" t="n">
        <f aca="false">0</f>
        <v>0</v>
      </c>
      <c r="U365" s="71" t="n">
        <f aca="false">0</f>
        <v>0</v>
      </c>
      <c r="V365" s="71" t="n">
        <f aca="false">0</f>
        <v>0</v>
      </c>
      <c r="W365" s="71" t="n">
        <f aca="false">0</f>
        <v>0</v>
      </c>
      <c r="X365" s="71" t="n">
        <f aca="false">0</f>
        <v>0</v>
      </c>
      <c r="Y365" s="71" t="n">
        <f aca="false">0</f>
        <v>0</v>
      </c>
      <c r="Z365" s="71" t="n">
        <f aca="false">0</f>
        <v>0</v>
      </c>
      <c r="AA365" s="71" t="n">
        <f aca="false">0</f>
        <v>0</v>
      </c>
      <c r="AB365" s="71" t="n">
        <f aca="false">0</f>
        <v>0</v>
      </c>
    </row>
    <row r="366" customFormat="false" ht="15" hidden="false" customHeight="false" outlineLevel="0" collapsed="false">
      <c r="A366" s="28" t="s">
        <v>333</v>
      </c>
      <c r="B366" s="58" t="s">
        <v>53</v>
      </c>
      <c r="C366" s="59" t="n">
        <f aca="false">SUM(E366:P366)</f>
        <v>0</v>
      </c>
      <c r="D366" s="59" t="n">
        <f aca="false">SUM(Q366:AB366)</f>
        <v>0</v>
      </c>
      <c r="E366" s="71" t="n">
        <f aca="false">0</f>
        <v>0</v>
      </c>
      <c r="F366" s="71" t="n">
        <f aca="false">0</f>
        <v>0</v>
      </c>
      <c r="G366" s="71" t="n">
        <f aca="false">0</f>
        <v>0</v>
      </c>
      <c r="H366" s="71" t="n">
        <f aca="false">0</f>
        <v>0</v>
      </c>
      <c r="I366" s="71" t="n">
        <f aca="false">0</f>
        <v>0</v>
      </c>
      <c r="J366" s="71" t="n">
        <f aca="false">0</f>
        <v>0</v>
      </c>
      <c r="K366" s="71" t="n">
        <f aca="false">0</f>
        <v>0</v>
      </c>
      <c r="L366" s="71" t="n">
        <f aca="false">0</f>
        <v>0</v>
      </c>
      <c r="M366" s="71" t="n">
        <f aca="false">0</f>
        <v>0</v>
      </c>
      <c r="N366" s="71" t="n">
        <f aca="false">0</f>
        <v>0</v>
      </c>
      <c r="O366" s="71" t="n">
        <f aca="false">0</f>
        <v>0</v>
      </c>
      <c r="P366" s="71" t="n">
        <f aca="false">0</f>
        <v>0</v>
      </c>
      <c r="Q366" s="71" t="n">
        <f aca="false">0</f>
        <v>0</v>
      </c>
      <c r="R366" s="71" t="n">
        <f aca="false">0</f>
        <v>0</v>
      </c>
      <c r="S366" s="71" t="n">
        <f aca="false">0</f>
        <v>0</v>
      </c>
      <c r="T366" s="71" t="n">
        <f aca="false">0</f>
        <v>0</v>
      </c>
      <c r="U366" s="71" t="n">
        <f aca="false">0</f>
        <v>0</v>
      </c>
      <c r="V366" s="71" t="n">
        <f aca="false">0</f>
        <v>0</v>
      </c>
      <c r="W366" s="71" t="n">
        <f aca="false">0</f>
        <v>0</v>
      </c>
      <c r="X366" s="71" t="n">
        <f aca="false">0</f>
        <v>0</v>
      </c>
      <c r="Y366" s="71" t="n">
        <f aca="false">0</f>
        <v>0</v>
      </c>
      <c r="Z366" s="71" t="n">
        <f aca="false">0</f>
        <v>0</v>
      </c>
      <c r="AA366" s="71" t="n">
        <f aca="false">0</f>
        <v>0</v>
      </c>
      <c r="AB366" s="71" t="n">
        <f aca="false">0</f>
        <v>0</v>
      </c>
    </row>
    <row r="367" customFormat="false" ht="15" hidden="false" customHeight="false" outlineLevel="0" collapsed="false">
      <c r="A367" s="28" t="s">
        <v>334</v>
      </c>
      <c r="B367" s="58" t="s">
        <v>53</v>
      </c>
      <c r="C367" s="59" t="n">
        <f aca="false">SUM(E367:P367)</f>
        <v>31820.86</v>
      </c>
      <c r="D367" s="59" t="n">
        <f aca="false">SUM(Q367:AB367)</f>
        <v>30096</v>
      </c>
      <c r="E367" s="60" t="n">
        <f aca="false">TM_Media!E48</f>
        <v>2137.69</v>
      </c>
      <c r="F367" s="60" t="n">
        <f aca="false">TM_Media!F48</f>
        <v>2336.6</v>
      </c>
      <c r="G367" s="60" t="n">
        <f aca="false">TM_Media!G48</f>
        <v>2412.33</v>
      </c>
      <c r="H367" s="60" t="n">
        <f aca="false">TM_Media!H48</f>
        <v>2564.13</v>
      </c>
      <c r="I367" s="60" t="n">
        <f aca="false">TM_Media!I48</f>
        <v>2472.11</v>
      </c>
      <c r="J367" s="60" t="n">
        <f aca="false">TM_Media!J48</f>
        <v>2564.77</v>
      </c>
      <c r="K367" s="60" t="n">
        <f aca="false">TM_Media!K48</f>
        <v>2427.7</v>
      </c>
      <c r="L367" s="60" t="n">
        <f aca="false">TM_Media!L48</f>
        <v>2629.53</v>
      </c>
      <c r="M367" s="60" t="n">
        <f aca="false">TM_Media!M48</f>
        <v>2640</v>
      </c>
      <c r="N367" s="60" t="n">
        <f aca="false">TM_Media!N48</f>
        <v>2904</v>
      </c>
      <c r="O367" s="60" t="n">
        <f aca="false">TM_Media!O48</f>
        <v>3564</v>
      </c>
      <c r="P367" s="60" t="n">
        <f aca="false">TM_Media!P48</f>
        <v>3168</v>
      </c>
      <c r="Q367" s="60" t="n">
        <f aca="false">TM_Media!Q48</f>
        <v>2131.8</v>
      </c>
      <c r="R367" s="60" t="n">
        <f aca="false">TM_Media!R48</f>
        <v>2131.8</v>
      </c>
      <c r="S367" s="60" t="n">
        <f aca="false">TM_Media!S48</f>
        <v>2382.6</v>
      </c>
      <c r="T367" s="60" t="n">
        <f aca="false">TM_Media!T48</f>
        <v>2508</v>
      </c>
      <c r="U367" s="60" t="n">
        <f aca="false">TM_Media!U48</f>
        <v>2508</v>
      </c>
      <c r="V367" s="60" t="n">
        <f aca="false">TM_Media!V48</f>
        <v>2382.6</v>
      </c>
      <c r="W367" s="60" t="n">
        <f aca="false">TM_Media!W48</f>
        <v>2131.8</v>
      </c>
      <c r="X367" s="60" t="n">
        <f aca="false">TM_Media!X48</f>
        <v>2257.2</v>
      </c>
      <c r="Y367" s="60" t="n">
        <f aca="false">TM_Media!Y48</f>
        <v>2508</v>
      </c>
      <c r="Z367" s="60" t="n">
        <f aca="false">TM_Media!Z48</f>
        <v>2758.8</v>
      </c>
      <c r="AA367" s="60" t="n">
        <f aca="false">TM_Media!AA48</f>
        <v>3385.8</v>
      </c>
      <c r="AB367" s="60" t="n">
        <f aca="false">TM_Media!AB48</f>
        <v>3009.6</v>
      </c>
    </row>
    <row r="368" customFormat="false" ht="15" hidden="false" customHeight="false" outlineLevel="0" collapsed="false">
      <c r="A368" s="28" t="s">
        <v>701</v>
      </c>
      <c r="B368" s="58" t="s">
        <v>51</v>
      </c>
      <c r="C368" s="59" t="n">
        <f aca="false">SUM(E368:P368)</f>
        <v>0</v>
      </c>
      <c r="D368" s="59" t="n">
        <f aca="false">SUM(Q368:AB368)</f>
        <v>0</v>
      </c>
      <c r="E368" s="71" t="n">
        <f aca="false">0</f>
        <v>0</v>
      </c>
      <c r="F368" s="71" t="n">
        <f aca="false">0</f>
        <v>0</v>
      </c>
      <c r="G368" s="71" t="n">
        <f aca="false">0</f>
        <v>0</v>
      </c>
      <c r="H368" s="71" t="n">
        <f aca="false">0</f>
        <v>0</v>
      </c>
      <c r="I368" s="71" t="n">
        <f aca="false">0</f>
        <v>0</v>
      </c>
      <c r="J368" s="71" t="n">
        <f aca="false">0</f>
        <v>0</v>
      </c>
      <c r="K368" s="71" t="n">
        <f aca="false">0</f>
        <v>0</v>
      </c>
      <c r="L368" s="71" t="n">
        <f aca="false">0</f>
        <v>0</v>
      </c>
      <c r="M368" s="71" t="n">
        <f aca="false">0</f>
        <v>0</v>
      </c>
      <c r="N368" s="71" t="n">
        <f aca="false">0</f>
        <v>0</v>
      </c>
      <c r="O368" s="71" t="n">
        <f aca="false">0</f>
        <v>0</v>
      </c>
      <c r="P368" s="71" t="n">
        <f aca="false">0</f>
        <v>0</v>
      </c>
      <c r="Q368" s="71" t="n">
        <f aca="false">0</f>
        <v>0</v>
      </c>
      <c r="R368" s="71" t="n">
        <f aca="false">0</f>
        <v>0</v>
      </c>
      <c r="S368" s="71" t="n">
        <f aca="false">0</f>
        <v>0</v>
      </c>
      <c r="T368" s="71" t="n">
        <f aca="false">0</f>
        <v>0</v>
      </c>
      <c r="U368" s="71" t="n">
        <f aca="false">0</f>
        <v>0</v>
      </c>
      <c r="V368" s="71" t="n">
        <f aca="false">0</f>
        <v>0</v>
      </c>
      <c r="W368" s="71" t="n">
        <f aca="false">0</f>
        <v>0</v>
      </c>
      <c r="X368" s="71" t="n">
        <f aca="false">0</f>
        <v>0</v>
      </c>
      <c r="Y368" s="71" t="n">
        <f aca="false">0</f>
        <v>0</v>
      </c>
      <c r="Z368" s="71" t="n">
        <f aca="false">0</f>
        <v>0</v>
      </c>
      <c r="AA368" s="71" t="n">
        <f aca="false">0</f>
        <v>0</v>
      </c>
      <c r="AB368" s="71" t="n">
        <f aca="false">0</f>
        <v>0</v>
      </c>
    </row>
    <row r="369" customFormat="false" ht="15" hidden="false" customHeight="false" outlineLevel="0" collapsed="false">
      <c r="A369" s="68" t="s">
        <v>743</v>
      </c>
      <c r="B369" s="69"/>
      <c r="C369" s="70" t="n">
        <f aca="false">SUM(E369:P369)</f>
        <v>139820.86</v>
      </c>
      <c r="D369" s="70" t="n">
        <f aca="false">SUM(Q369:AB369)</f>
        <v>136800</v>
      </c>
      <c r="E369" s="70" t="n">
        <f aca="false">SUM(E364:E368)</f>
        <v>11137.69</v>
      </c>
      <c r="F369" s="70" t="n">
        <f aca="false">SUM(F364:F368)</f>
        <v>11336.6</v>
      </c>
      <c r="G369" s="70" t="n">
        <f aca="false">SUM(G364:G368)</f>
        <v>11412.33</v>
      </c>
      <c r="H369" s="70" t="n">
        <f aca="false">SUM(H364:H368)</f>
        <v>11564.13</v>
      </c>
      <c r="I369" s="70" t="n">
        <f aca="false">SUM(I364:I368)</f>
        <v>11472.11</v>
      </c>
      <c r="J369" s="70" t="n">
        <f aca="false">SUM(J364:J368)</f>
        <v>11564.77</v>
      </c>
      <c r="K369" s="70" t="n">
        <f aca="false">SUM(K364:K368)</f>
        <v>11427.7</v>
      </c>
      <c r="L369" s="70" t="n">
        <f aca="false">SUM(L364:L368)</f>
        <v>11629.53</v>
      </c>
      <c r="M369" s="70" t="n">
        <f aca="false">SUM(M364:M368)</f>
        <v>11640</v>
      </c>
      <c r="N369" s="70" t="n">
        <f aca="false">SUM(N364:N368)</f>
        <v>11904</v>
      </c>
      <c r="O369" s="70" t="n">
        <f aca="false">SUM(O364:O368)</f>
        <v>12564</v>
      </c>
      <c r="P369" s="70" t="n">
        <f aca="false">SUM(P364:P368)</f>
        <v>12168</v>
      </c>
      <c r="Q369" s="70" t="n">
        <f aca="false">SUM(Q364:Q368)</f>
        <v>11023.8</v>
      </c>
      <c r="R369" s="70" t="n">
        <f aca="false">SUM(R364:R368)</f>
        <v>11023.8</v>
      </c>
      <c r="S369" s="70" t="n">
        <f aca="false">SUM(S364:S368)</f>
        <v>11274.6</v>
      </c>
      <c r="T369" s="70" t="n">
        <f aca="false">SUM(T364:T368)</f>
        <v>11400</v>
      </c>
      <c r="U369" s="70" t="n">
        <f aca="false">SUM(U364:U368)</f>
        <v>11400</v>
      </c>
      <c r="V369" s="70" t="n">
        <f aca="false">SUM(V364:V368)</f>
        <v>11274.6</v>
      </c>
      <c r="W369" s="70" t="n">
        <f aca="false">SUM(W364:W368)</f>
        <v>11023.8</v>
      </c>
      <c r="X369" s="70" t="n">
        <f aca="false">SUM(X364:X368)</f>
        <v>11149.2</v>
      </c>
      <c r="Y369" s="70" t="n">
        <f aca="false">SUM(Y364:Y368)</f>
        <v>11400</v>
      </c>
      <c r="Z369" s="70" t="n">
        <f aca="false">SUM(Z364:Z368)</f>
        <v>11650.8</v>
      </c>
      <c r="AA369" s="70" t="n">
        <f aca="false">SUM(AA364:AA368)</f>
        <v>12277.8</v>
      </c>
      <c r="AB369" s="70" t="n">
        <f aca="false">SUM(AB364:AB368)</f>
        <v>11901.6</v>
      </c>
    </row>
    <row r="370" customFormat="false" ht="15" hidden="false" customHeight="false" outlineLevel="0" collapsed="false">
      <c r="A370" s="28" t="s">
        <v>703</v>
      </c>
      <c r="B370" s="58"/>
      <c r="C370" s="59" t="n">
        <f aca="false">SUM(E370:P370)</f>
        <v>139820.86</v>
      </c>
      <c r="D370" s="59" t="n">
        <f aca="false">SUM(Q370:AB370)</f>
        <v>136800</v>
      </c>
      <c r="E370" s="71" t="n">
        <f aca="false">E369/1</f>
        <v>11137.69</v>
      </c>
      <c r="F370" s="71" t="n">
        <f aca="false">F369/1</f>
        <v>11336.6</v>
      </c>
      <c r="G370" s="71" t="n">
        <f aca="false">G369/1</f>
        <v>11412.33</v>
      </c>
      <c r="H370" s="71" t="n">
        <f aca="false">H369/1</f>
        <v>11564.13</v>
      </c>
      <c r="I370" s="71" t="n">
        <f aca="false">I369/1</f>
        <v>11472.11</v>
      </c>
      <c r="J370" s="71" t="n">
        <f aca="false">J369/1</f>
        <v>11564.77</v>
      </c>
      <c r="K370" s="71" t="n">
        <f aca="false">K369/1</f>
        <v>11427.7</v>
      </c>
      <c r="L370" s="71" t="n">
        <f aca="false">L369/1</f>
        <v>11629.53</v>
      </c>
      <c r="M370" s="71" t="n">
        <f aca="false">M369/1</f>
        <v>11640</v>
      </c>
      <c r="N370" s="71" t="n">
        <f aca="false">N369/1</f>
        <v>11904</v>
      </c>
      <c r="O370" s="71" t="n">
        <f aca="false">O369/1</f>
        <v>12564</v>
      </c>
      <c r="P370" s="71" t="n">
        <f aca="false">P369/1</f>
        <v>12168</v>
      </c>
      <c r="Q370" s="71" t="n">
        <f aca="false">Q369/1</f>
        <v>11023.8</v>
      </c>
      <c r="R370" s="71" t="n">
        <f aca="false">R369/1</f>
        <v>11023.8</v>
      </c>
      <c r="S370" s="71" t="n">
        <f aca="false">S369/1</f>
        <v>11274.6</v>
      </c>
      <c r="T370" s="71" t="n">
        <f aca="false">T369/1</f>
        <v>11400</v>
      </c>
      <c r="U370" s="71" t="n">
        <f aca="false">U369/1</f>
        <v>11400</v>
      </c>
      <c r="V370" s="71" t="n">
        <f aca="false">V369/1</f>
        <v>11274.6</v>
      </c>
      <c r="W370" s="71" t="n">
        <f aca="false">W369/1</f>
        <v>11023.8</v>
      </c>
      <c r="X370" s="71" t="n">
        <f aca="false">X369/1</f>
        <v>11149.2</v>
      </c>
      <c r="Y370" s="71" t="n">
        <f aca="false">Y369/1</f>
        <v>11400</v>
      </c>
      <c r="Z370" s="71" t="n">
        <f aca="false">Z369/1</f>
        <v>11650.8</v>
      </c>
      <c r="AA370" s="71" t="n">
        <f aca="false">AA369/1</f>
        <v>12277.8</v>
      </c>
      <c r="AB370" s="71" t="n">
        <f aca="false">AB369/1</f>
        <v>11901.6</v>
      </c>
    </row>
    <row r="371" customFormat="false" ht="15" hidden="false" customHeight="false" outlineLevel="0" collapsed="false">
      <c r="A371" s="28" t="s">
        <v>704</v>
      </c>
      <c r="B371" s="58" t="s">
        <v>51</v>
      </c>
      <c r="C371" s="59" t="n">
        <f aca="false">SUM(E371:P371)</f>
        <v>0</v>
      </c>
      <c r="D371" s="59" t="n">
        <f aca="false">SUM(Q371:AB371)</f>
        <v>0</v>
      </c>
      <c r="E371" s="71" t="n">
        <f aca="false">0</f>
        <v>0</v>
      </c>
      <c r="F371" s="71" t="n">
        <f aca="false">0</f>
        <v>0</v>
      </c>
      <c r="G371" s="71" t="n">
        <f aca="false">0</f>
        <v>0</v>
      </c>
      <c r="H371" s="71" t="n">
        <f aca="false">0</f>
        <v>0</v>
      </c>
      <c r="I371" s="71" t="n">
        <f aca="false">0</f>
        <v>0</v>
      </c>
      <c r="J371" s="71" t="n">
        <f aca="false">0</f>
        <v>0</v>
      </c>
      <c r="K371" s="71" t="n">
        <f aca="false">0</f>
        <v>0</v>
      </c>
      <c r="L371" s="71" t="n">
        <f aca="false">0</f>
        <v>0</v>
      </c>
      <c r="M371" s="71" t="n">
        <f aca="false">0</f>
        <v>0</v>
      </c>
      <c r="N371" s="71" t="n">
        <f aca="false">0</f>
        <v>0</v>
      </c>
      <c r="O371" s="71" t="n">
        <f aca="false">0</f>
        <v>0</v>
      </c>
      <c r="P371" s="71" t="n">
        <f aca="false">0</f>
        <v>0</v>
      </c>
      <c r="Q371" s="71" t="n">
        <f aca="false">0</f>
        <v>0</v>
      </c>
      <c r="R371" s="71" t="n">
        <f aca="false">0</f>
        <v>0</v>
      </c>
      <c r="S371" s="71" t="n">
        <f aca="false">0</f>
        <v>0</v>
      </c>
      <c r="T371" s="71" t="n">
        <f aca="false">0</f>
        <v>0</v>
      </c>
      <c r="U371" s="71" t="n">
        <f aca="false">0</f>
        <v>0</v>
      </c>
      <c r="V371" s="71" t="n">
        <f aca="false">0</f>
        <v>0</v>
      </c>
      <c r="W371" s="71" t="n">
        <f aca="false">0</f>
        <v>0</v>
      </c>
      <c r="X371" s="71" t="n">
        <f aca="false">0</f>
        <v>0</v>
      </c>
      <c r="Y371" s="71" t="n">
        <f aca="false">0</f>
        <v>0</v>
      </c>
      <c r="Z371" s="71" t="n">
        <f aca="false">0</f>
        <v>0</v>
      </c>
      <c r="AA371" s="71" t="n">
        <f aca="false">0</f>
        <v>0</v>
      </c>
      <c r="AB371" s="71" t="n">
        <f aca="false">0</f>
        <v>0</v>
      </c>
    </row>
    <row r="372" customFormat="false" ht="15" hidden="false" customHeight="false" outlineLevel="0" collapsed="false">
      <c r="A372" s="68" t="s">
        <v>705</v>
      </c>
      <c r="B372" s="69" t="s">
        <v>706</v>
      </c>
      <c r="C372" s="70" t="n">
        <f aca="false">SUM(E372:P372)</f>
        <v>139820.86</v>
      </c>
      <c r="D372" s="70" t="n">
        <f aca="false">SUM(Q372:AB372)</f>
        <v>136800</v>
      </c>
      <c r="E372" s="70" t="n">
        <f aca="false">E370-E371</f>
        <v>11137.69</v>
      </c>
      <c r="F372" s="70" t="n">
        <f aca="false">F370-F371</f>
        <v>11336.6</v>
      </c>
      <c r="G372" s="70" t="n">
        <f aca="false">G370-G371</f>
        <v>11412.33</v>
      </c>
      <c r="H372" s="70" t="n">
        <f aca="false">H370-H371</f>
        <v>11564.13</v>
      </c>
      <c r="I372" s="70" t="n">
        <f aca="false">I370-I371</f>
        <v>11472.11</v>
      </c>
      <c r="J372" s="70" t="n">
        <f aca="false">J370-J371</f>
        <v>11564.77</v>
      </c>
      <c r="K372" s="70" t="n">
        <f aca="false">K370-K371</f>
        <v>11427.7</v>
      </c>
      <c r="L372" s="70" t="n">
        <f aca="false">L370-L371</f>
        <v>11629.53</v>
      </c>
      <c r="M372" s="70" t="n">
        <f aca="false">M370-M371</f>
        <v>11640</v>
      </c>
      <c r="N372" s="70" t="n">
        <f aca="false">N370-N371</f>
        <v>11904</v>
      </c>
      <c r="O372" s="70" t="n">
        <f aca="false">O370-O371</f>
        <v>12564</v>
      </c>
      <c r="P372" s="70" t="n">
        <f aca="false">P370-P371</f>
        <v>12168</v>
      </c>
      <c r="Q372" s="70" t="n">
        <f aca="false">Q370-Q371</f>
        <v>11023.8</v>
      </c>
      <c r="R372" s="70" t="n">
        <f aca="false">R370-R371</f>
        <v>11023.8</v>
      </c>
      <c r="S372" s="70" t="n">
        <f aca="false">S370-S371</f>
        <v>11274.6</v>
      </c>
      <c r="T372" s="70" t="n">
        <f aca="false">T370-T371</f>
        <v>11400</v>
      </c>
      <c r="U372" s="70" t="n">
        <f aca="false">U370-U371</f>
        <v>11400</v>
      </c>
      <c r="V372" s="70" t="n">
        <f aca="false">V370-V371</f>
        <v>11274.6</v>
      </c>
      <c r="W372" s="70" t="n">
        <f aca="false">W370-W371</f>
        <v>11023.8</v>
      </c>
      <c r="X372" s="70" t="n">
        <f aca="false">X370-X371</f>
        <v>11149.2</v>
      </c>
      <c r="Y372" s="70" t="n">
        <f aca="false">Y370-Y371</f>
        <v>11400</v>
      </c>
      <c r="Z372" s="70" t="n">
        <f aca="false">Z370-Z371</f>
        <v>11650.8</v>
      </c>
      <c r="AA372" s="70" t="n">
        <f aca="false">AA370-AA371</f>
        <v>12277.8</v>
      </c>
      <c r="AB372" s="70" t="n">
        <f aca="false">AB370-AB371</f>
        <v>11901.6</v>
      </c>
    </row>
    <row r="373" customFormat="false" ht="15" hidden="false" customHeight="false" outlineLevel="0" collapsed="false">
      <c r="A373" s="28" t="s">
        <v>707</v>
      </c>
      <c r="B373" s="58" t="s">
        <v>708</v>
      </c>
      <c r="C373" s="66" t="n">
        <f aca="false">SUM(E373:P373)</f>
        <v>1561.29</v>
      </c>
      <c r="D373" s="66" t="n">
        <f aca="false">SUM(Q373:AB373)</f>
        <v>1488.2865</v>
      </c>
      <c r="E373" s="67" t="n">
        <f aca="false">Retainers!E113+TM_Media!E49</f>
        <v>134</v>
      </c>
      <c r="F373" s="67" t="n">
        <f aca="false">Retainers!F113+TM_Media!F49</f>
        <v>125.3</v>
      </c>
      <c r="G373" s="67" t="n">
        <f aca="false">Retainers!G113+TM_Media!G49</f>
        <v>130.5</v>
      </c>
      <c r="H373" s="67" t="n">
        <f aca="false">Retainers!H113+TM_Media!H49</f>
        <v>134.8</v>
      </c>
      <c r="I373" s="67" t="n">
        <f aca="false">Retainers!I113+TM_Media!I49</f>
        <v>129.5</v>
      </c>
      <c r="J373" s="67" t="n">
        <f aca="false">Retainers!J113+TM_Media!J49</f>
        <v>132.4</v>
      </c>
      <c r="K373" s="67" t="n">
        <f aca="false">Retainers!K113+TM_Media!K49</f>
        <v>126.2</v>
      </c>
      <c r="L373" s="67" t="n">
        <f aca="false">Retainers!L113+TM_Media!L49</f>
        <v>132.7</v>
      </c>
      <c r="M373" s="67" t="n">
        <f aca="false">Retainers!M113+TM_Media!M49</f>
        <v>128.9725</v>
      </c>
      <c r="N373" s="67" t="n">
        <f aca="false">Retainers!N113+TM_Media!N49</f>
        <v>128.9725</v>
      </c>
      <c r="O373" s="67" t="n">
        <f aca="false">Retainers!O113+TM_Media!O49</f>
        <v>128.9725</v>
      </c>
      <c r="P373" s="67" t="n">
        <f aca="false">Retainers!P113+TM_Media!P49</f>
        <v>128.9725</v>
      </c>
      <c r="Q373" s="67" t="n">
        <f aca="false">Retainers!Q113+TM_Media!Q49</f>
        <v>124.023875</v>
      </c>
      <c r="R373" s="67" t="n">
        <f aca="false">Retainers!R113+TM_Media!R49</f>
        <v>124.023875</v>
      </c>
      <c r="S373" s="67" t="n">
        <f aca="false">Retainers!S113+TM_Media!S49</f>
        <v>124.023875</v>
      </c>
      <c r="T373" s="67" t="n">
        <f aca="false">Retainers!T113+TM_Media!T49</f>
        <v>124.023875</v>
      </c>
      <c r="U373" s="67" t="n">
        <f aca="false">Retainers!U113+TM_Media!U49</f>
        <v>124.023875</v>
      </c>
      <c r="V373" s="67" t="n">
        <f aca="false">Retainers!V113+TM_Media!V49</f>
        <v>124.023875</v>
      </c>
      <c r="W373" s="67" t="n">
        <f aca="false">Retainers!W113+TM_Media!W49</f>
        <v>124.023875</v>
      </c>
      <c r="X373" s="67" t="n">
        <f aca="false">Retainers!X113+TM_Media!X49</f>
        <v>124.023875</v>
      </c>
      <c r="Y373" s="67" t="n">
        <f aca="false">Retainers!Y113+TM_Media!Y49</f>
        <v>124.023875</v>
      </c>
      <c r="Z373" s="67" t="n">
        <f aca="false">Retainers!Z113+TM_Media!Z49</f>
        <v>124.023875</v>
      </c>
      <c r="AA373" s="67" t="n">
        <f aca="false">Retainers!AA113+TM_Media!AA49</f>
        <v>124.023875</v>
      </c>
      <c r="AB373" s="67" t="n">
        <f aca="false">Retainers!AB113+TM_Media!AB49</f>
        <v>124.023875</v>
      </c>
    </row>
    <row r="374" customFormat="false" ht="15" hidden="false" customHeight="false" outlineLevel="0" collapsed="false">
      <c r="A374" s="28" t="s">
        <v>709</v>
      </c>
      <c r="B374" s="58" t="s">
        <v>710</v>
      </c>
      <c r="C374" s="59" t="n">
        <f aca="false">SUM(E374:P374)</f>
        <v>73115.9299404373</v>
      </c>
      <c r="D374" s="59" t="n">
        <f aca="false">SUM(Q374:AB374)</f>
        <v>72845.6475128947</v>
      </c>
      <c r="E374" s="60" t="n">
        <f aca="false">Retainers!E113*Utilisation!E89+TM_Media!E49*Utilisation!E93</f>
        <v>6274.6626283084</v>
      </c>
      <c r="F374" s="60" t="n">
        <f aca="false">Retainers!F113*Utilisation!F89+TM_Media!F49*Utilisation!F93</f>
        <v>5868.62135420023</v>
      </c>
      <c r="G374" s="60" t="n">
        <f aca="false">Retainers!G113*Utilisation!G89+TM_Media!G49*Utilisation!G93</f>
        <v>6111.31269044879</v>
      </c>
      <c r="H374" s="60" t="n">
        <f aca="false">Retainers!H113*Utilisation!H89+TM_Media!H49*Utilisation!H93</f>
        <v>6311.99975696203</v>
      </c>
      <c r="I374" s="60" t="n">
        <f aca="false">Retainers!I113*Utilisation!I89+TM_Media!I49*Utilisation!I93</f>
        <v>6064.64127963176</v>
      </c>
      <c r="J374" s="60" t="n">
        <f aca="false">Retainers!J113*Utilisation!J89+TM_Media!J49*Utilisation!J93</f>
        <v>6199.98837100115</v>
      </c>
      <c r="K374" s="60" t="n">
        <f aca="false">Retainers!K113*Utilisation!K89+TM_Media!K49*Utilisation!K93</f>
        <v>5910.62562393556</v>
      </c>
      <c r="L374" s="60" t="n">
        <f aca="false">Retainers!L113*Utilisation!L89+TM_Media!L49*Utilisation!L93</f>
        <v>6213.98979424626</v>
      </c>
      <c r="M374" s="60" t="n">
        <f aca="false">Retainers!M113*Utilisation!M89+TM_Media!M49*Utilisation!M93</f>
        <v>6040.02211042578</v>
      </c>
      <c r="N374" s="60" t="n">
        <f aca="false">Retainers!N113*Utilisation!N89+TM_Media!N49*Utilisation!N93</f>
        <v>6040.02211042578</v>
      </c>
      <c r="O374" s="60" t="n">
        <f aca="false">Retainers!O113*Utilisation!O89+TM_Media!O49*Utilisation!O93</f>
        <v>6040.02211042578</v>
      </c>
      <c r="P374" s="60" t="n">
        <f aca="false">Retainers!P113*Utilisation!P89+TM_Media!P49*Utilisation!P93</f>
        <v>6040.02211042578</v>
      </c>
      <c r="Q374" s="60" t="n">
        <f aca="false">Retainers!Q113*Utilisation!Q89+TM_Media!Q49*Utilisation!Q93</f>
        <v>6070.47062607456</v>
      </c>
      <c r="R374" s="60" t="n">
        <f aca="false">Retainers!R113*Utilisation!R89+TM_Media!R49*Utilisation!R93</f>
        <v>6070.47062607456</v>
      </c>
      <c r="S374" s="60" t="n">
        <f aca="false">Retainers!S113*Utilisation!S89+TM_Media!S49*Utilisation!S93</f>
        <v>6070.47062607456</v>
      </c>
      <c r="T374" s="60" t="n">
        <f aca="false">Retainers!T113*Utilisation!T89+TM_Media!T49*Utilisation!T93</f>
        <v>6070.47062607456</v>
      </c>
      <c r="U374" s="60" t="n">
        <f aca="false">Retainers!U113*Utilisation!U89+TM_Media!U49*Utilisation!U93</f>
        <v>6070.47062607456</v>
      </c>
      <c r="V374" s="60" t="n">
        <f aca="false">Retainers!V113*Utilisation!V89+TM_Media!V49*Utilisation!V93</f>
        <v>6070.47062607456</v>
      </c>
      <c r="W374" s="60" t="n">
        <f aca="false">Retainers!W113*Utilisation!W89+TM_Media!W49*Utilisation!W93</f>
        <v>6070.47062607456</v>
      </c>
      <c r="X374" s="60" t="n">
        <f aca="false">Retainers!X113*Utilisation!X89+TM_Media!X49*Utilisation!X93</f>
        <v>6070.47062607456</v>
      </c>
      <c r="Y374" s="60" t="n">
        <f aca="false">Retainers!Y113*Utilisation!Y89+TM_Media!Y49*Utilisation!Y93</f>
        <v>6070.47062607456</v>
      </c>
      <c r="Z374" s="60" t="n">
        <f aca="false">Retainers!Z113*Utilisation!Z89+TM_Media!Z49*Utilisation!Z93</f>
        <v>6070.47062607456</v>
      </c>
      <c r="AA374" s="60" t="n">
        <f aca="false">Retainers!AA113*Utilisation!AA89+TM_Media!AA49*Utilisation!AA93</f>
        <v>6070.47062607456</v>
      </c>
      <c r="AB374" s="60" t="n">
        <f aca="false">Retainers!AB113*Utilisation!AB89+TM_Media!AB49*Utilisation!AB93</f>
        <v>6070.47062607456</v>
      </c>
    </row>
    <row r="375" customFormat="false" ht="15" hidden="false" customHeight="false" outlineLevel="0" collapsed="false">
      <c r="A375" s="28" t="s">
        <v>711</v>
      </c>
      <c r="B375" s="58" t="s">
        <v>53</v>
      </c>
      <c r="C375" s="59" t="n">
        <f aca="false">SUM(E375:P375)</f>
        <v>265173.93</v>
      </c>
      <c r="D375" s="59" t="n">
        <f aca="false">SUM(Q375:AB375)</f>
        <v>250800</v>
      </c>
      <c r="E375" s="60" t="n">
        <f aca="false">TM_Media!E47</f>
        <v>17814.1</v>
      </c>
      <c r="F375" s="60" t="n">
        <f aca="false">TM_Media!F47</f>
        <v>19471.68</v>
      </c>
      <c r="G375" s="60" t="n">
        <f aca="false">TM_Media!G47</f>
        <v>20102.78</v>
      </c>
      <c r="H375" s="60" t="n">
        <f aca="false">TM_Media!H47</f>
        <v>21367.75</v>
      </c>
      <c r="I375" s="60" t="n">
        <f aca="false">TM_Media!I47</f>
        <v>20600.91</v>
      </c>
      <c r="J375" s="60" t="n">
        <f aca="false">TM_Media!J47</f>
        <v>21373.1</v>
      </c>
      <c r="K375" s="60" t="n">
        <f aca="false">TM_Media!K47</f>
        <v>20230.83</v>
      </c>
      <c r="L375" s="60" t="n">
        <f aca="false">TM_Media!L47</f>
        <v>21912.78</v>
      </c>
      <c r="M375" s="60" t="n">
        <f aca="false">TM_Media!M47</f>
        <v>22000</v>
      </c>
      <c r="N375" s="60" t="n">
        <f aca="false">TM_Media!N47</f>
        <v>24200</v>
      </c>
      <c r="O375" s="60" t="n">
        <f aca="false">TM_Media!O47</f>
        <v>29700</v>
      </c>
      <c r="P375" s="60" t="n">
        <f aca="false">TM_Media!P47</f>
        <v>26400</v>
      </c>
      <c r="Q375" s="60" t="n">
        <f aca="false">TM_Media!Q47</f>
        <v>17765</v>
      </c>
      <c r="R375" s="60" t="n">
        <f aca="false">TM_Media!R47</f>
        <v>17765</v>
      </c>
      <c r="S375" s="60" t="n">
        <f aca="false">TM_Media!S47</f>
        <v>19855</v>
      </c>
      <c r="T375" s="60" t="n">
        <f aca="false">TM_Media!T47</f>
        <v>20900</v>
      </c>
      <c r="U375" s="60" t="n">
        <f aca="false">TM_Media!U47</f>
        <v>20900</v>
      </c>
      <c r="V375" s="60" t="n">
        <f aca="false">TM_Media!V47</f>
        <v>19855</v>
      </c>
      <c r="W375" s="60" t="n">
        <f aca="false">TM_Media!W47</f>
        <v>17765</v>
      </c>
      <c r="X375" s="60" t="n">
        <f aca="false">TM_Media!X47</f>
        <v>18810</v>
      </c>
      <c r="Y375" s="60" t="n">
        <f aca="false">TM_Media!Y47</f>
        <v>20900</v>
      </c>
      <c r="Z375" s="60" t="n">
        <f aca="false">TM_Media!Z47</f>
        <v>22990</v>
      </c>
      <c r="AA375" s="60" t="n">
        <f aca="false">TM_Media!AA47</f>
        <v>28215</v>
      </c>
      <c r="AB375" s="60" t="n">
        <f aca="false">TM_Media!AB47</f>
        <v>25080</v>
      </c>
    </row>
    <row r="376" customFormat="false" ht="15" hidden="false" customHeight="false" outlineLevel="0" collapsed="false">
      <c r="A376" s="28" t="s">
        <v>712</v>
      </c>
      <c r="B376" s="58" t="s">
        <v>713</v>
      </c>
      <c r="C376" s="59" t="n">
        <f aca="false">SUM(E376:P376)</f>
        <v>404994.79</v>
      </c>
      <c r="D376" s="59" t="n">
        <f aca="false">SUM(Q376:AB376)</f>
        <v>387600</v>
      </c>
      <c r="E376" s="60" t="n">
        <f aca="false">Retainers!E116+E367+E375+E368</f>
        <v>28951.79</v>
      </c>
      <c r="F376" s="60" t="n">
        <f aca="false">Retainers!F116+F367+F375+F368</f>
        <v>30808.28</v>
      </c>
      <c r="G376" s="60" t="n">
        <f aca="false">Retainers!G116+G367+G375+G368</f>
        <v>31515.11</v>
      </c>
      <c r="H376" s="60" t="n">
        <f aca="false">Retainers!H116+H367+H375+H368</f>
        <v>32931.88</v>
      </c>
      <c r="I376" s="60" t="n">
        <f aca="false">Retainers!I116+I367+I375+I368</f>
        <v>32073.02</v>
      </c>
      <c r="J376" s="60" t="n">
        <f aca="false">Retainers!J116+J367+J375+J368</f>
        <v>32937.87</v>
      </c>
      <c r="K376" s="60" t="n">
        <f aca="false">Retainers!K116+K367+K375+K368</f>
        <v>31658.53</v>
      </c>
      <c r="L376" s="60" t="n">
        <f aca="false">Retainers!L116+L367+L375+L368</f>
        <v>33542.31</v>
      </c>
      <c r="M376" s="60" t="n">
        <f aca="false">Retainers!M116+M367+M375+M368</f>
        <v>33640</v>
      </c>
      <c r="N376" s="60" t="n">
        <f aca="false">Retainers!N116+N367+N375+N368</f>
        <v>36104</v>
      </c>
      <c r="O376" s="60" t="n">
        <f aca="false">Retainers!O116+O367+O375+O368</f>
        <v>42264</v>
      </c>
      <c r="P376" s="60" t="n">
        <f aca="false">Retainers!P116+P367+P375+P368</f>
        <v>38568</v>
      </c>
      <c r="Q376" s="60" t="n">
        <f aca="false">Retainers!Q116+Q367+Q375+Q368</f>
        <v>28788.8</v>
      </c>
      <c r="R376" s="60" t="n">
        <f aca="false">Retainers!R116+R367+R375+R368</f>
        <v>28788.8</v>
      </c>
      <c r="S376" s="60" t="n">
        <f aca="false">Retainers!S116+S367+S375+S368</f>
        <v>31129.6</v>
      </c>
      <c r="T376" s="60" t="n">
        <f aca="false">Retainers!T116+T367+T375+T368</f>
        <v>32300</v>
      </c>
      <c r="U376" s="60" t="n">
        <f aca="false">Retainers!U116+U367+U375+U368</f>
        <v>32300</v>
      </c>
      <c r="V376" s="60" t="n">
        <f aca="false">Retainers!V116+V367+V375+V368</f>
        <v>31129.6</v>
      </c>
      <c r="W376" s="60" t="n">
        <f aca="false">Retainers!W116+W367+W375+W368</f>
        <v>28788.8</v>
      </c>
      <c r="X376" s="60" t="n">
        <f aca="false">Retainers!X116+X367+X375+X368</f>
        <v>29959.2</v>
      </c>
      <c r="Y376" s="60" t="n">
        <f aca="false">Retainers!Y116+Y367+Y375+Y368</f>
        <v>32300</v>
      </c>
      <c r="Z376" s="60" t="n">
        <f aca="false">Retainers!Z116+Z367+Z375+Z368</f>
        <v>34640.8</v>
      </c>
      <c r="AA376" s="60" t="n">
        <f aca="false">Retainers!AA116+AA367+AA375+AA368</f>
        <v>40492.8</v>
      </c>
      <c r="AB376" s="60" t="n">
        <f aca="false">Retainers!AB116+AB367+AB375+AB368</f>
        <v>36981.6</v>
      </c>
    </row>
    <row r="377" customFormat="false" ht="15" hidden="false" customHeight="false" outlineLevel="0" collapsed="false">
      <c r="A377" s="28" t="s">
        <v>714</v>
      </c>
      <c r="B377" s="58" t="s">
        <v>715</v>
      </c>
      <c r="C377" s="59" t="n">
        <f aca="false">SUM(E377:P377)</f>
        <v>97198.7496</v>
      </c>
      <c r="D377" s="59" t="n">
        <f aca="false">SUM(Q377:AB377)</f>
        <v>93024</v>
      </c>
      <c r="E377" s="60" t="n">
        <f aca="false">E376*Client_Register!$F$23</f>
        <v>6948.4296</v>
      </c>
      <c r="F377" s="60" t="n">
        <f aca="false">F376*Client_Register!$F$23</f>
        <v>7393.9872</v>
      </c>
      <c r="G377" s="60" t="n">
        <f aca="false">G376*Client_Register!$F$23</f>
        <v>7563.6264</v>
      </c>
      <c r="H377" s="60" t="n">
        <f aca="false">H376*Client_Register!$F$23</f>
        <v>7903.6512</v>
      </c>
      <c r="I377" s="60" t="n">
        <f aca="false">I376*Client_Register!$F$23</f>
        <v>7697.5248</v>
      </c>
      <c r="J377" s="60" t="n">
        <f aca="false">J376*Client_Register!$F$23</f>
        <v>7905.0888</v>
      </c>
      <c r="K377" s="60" t="n">
        <f aca="false">K376*Client_Register!$F$23</f>
        <v>7598.0472</v>
      </c>
      <c r="L377" s="60" t="n">
        <f aca="false">L376*Client_Register!$F$23</f>
        <v>8050.1544</v>
      </c>
      <c r="M377" s="60" t="n">
        <f aca="false">M376*Client_Register!$F$23</f>
        <v>8073.6</v>
      </c>
      <c r="N377" s="60" t="n">
        <f aca="false">N376*Client_Register!$F$23</f>
        <v>8664.96</v>
      </c>
      <c r="O377" s="60" t="n">
        <f aca="false">O376*Client_Register!$F$23</f>
        <v>10143.36</v>
      </c>
      <c r="P377" s="60" t="n">
        <f aca="false">P376*Client_Register!$F$23</f>
        <v>9256.32</v>
      </c>
      <c r="Q377" s="60" t="n">
        <f aca="false">Q376*Client_Register!$F$23</f>
        <v>6909.312</v>
      </c>
      <c r="R377" s="60" t="n">
        <f aca="false">R376*Client_Register!$F$23</f>
        <v>6909.312</v>
      </c>
      <c r="S377" s="60" t="n">
        <f aca="false">S376*Client_Register!$F$23</f>
        <v>7471.104</v>
      </c>
      <c r="T377" s="60" t="n">
        <f aca="false">T376*Client_Register!$F$23</f>
        <v>7752</v>
      </c>
      <c r="U377" s="60" t="n">
        <f aca="false">U376*Client_Register!$F$23</f>
        <v>7752</v>
      </c>
      <c r="V377" s="60" t="n">
        <f aca="false">V376*Client_Register!$F$23</f>
        <v>7471.104</v>
      </c>
      <c r="W377" s="60" t="n">
        <f aca="false">W376*Client_Register!$F$23</f>
        <v>6909.312</v>
      </c>
      <c r="X377" s="60" t="n">
        <f aca="false">X376*Client_Register!$F$23</f>
        <v>7190.208</v>
      </c>
      <c r="Y377" s="60" t="n">
        <f aca="false">Y376*Client_Register!$F$23</f>
        <v>7752</v>
      </c>
      <c r="Z377" s="60" t="n">
        <f aca="false">Z376*Client_Register!$F$23</f>
        <v>8313.792</v>
      </c>
      <c r="AA377" s="60" t="n">
        <f aca="false">AA376*Client_Register!$F$23</f>
        <v>9718.272</v>
      </c>
      <c r="AB377" s="60" t="n">
        <f aca="false">AB376*Client_Register!$F$23</f>
        <v>8875.584</v>
      </c>
    </row>
    <row r="378" customFormat="false" ht="15" hidden="false" customHeight="false" outlineLevel="0" collapsed="false">
      <c r="A378" s="68" t="s">
        <v>716</v>
      </c>
      <c r="B378" s="69"/>
      <c r="C378" s="70" t="n">
        <f aca="false">SUM(E378:P378)</f>
        <v>502193.5396</v>
      </c>
      <c r="D378" s="70" t="n">
        <f aca="false">SUM(Q378:AB378)</f>
        <v>480624</v>
      </c>
      <c r="E378" s="70" t="n">
        <f aca="false">E376+E377</f>
        <v>35900.2196</v>
      </c>
      <c r="F378" s="70" t="n">
        <f aca="false">F376+F377</f>
        <v>38202.2672</v>
      </c>
      <c r="G378" s="70" t="n">
        <f aca="false">G376+G377</f>
        <v>39078.7364</v>
      </c>
      <c r="H378" s="70" t="n">
        <f aca="false">H376+H377</f>
        <v>40835.5312</v>
      </c>
      <c r="I378" s="70" t="n">
        <f aca="false">I376+I377</f>
        <v>39770.5448</v>
      </c>
      <c r="J378" s="70" t="n">
        <f aca="false">J376+J377</f>
        <v>40842.9588</v>
      </c>
      <c r="K378" s="70" t="n">
        <f aca="false">K376+K377</f>
        <v>39256.5772</v>
      </c>
      <c r="L378" s="70" t="n">
        <f aca="false">L376+L377</f>
        <v>41592.4644</v>
      </c>
      <c r="M378" s="70" t="n">
        <f aca="false">M376+M377</f>
        <v>41713.6</v>
      </c>
      <c r="N378" s="70" t="n">
        <f aca="false">N376+N377</f>
        <v>44768.96</v>
      </c>
      <c r="O378" s="70" t="n">
        <f aca="false">O376+O377</f>
        <v>52407.36</v>
      </c>
      <c r="P378" s="70" t="n">
        <f aca="false">P376+P377</f>
        <v>47824.32</v>
      </c>
      <c r="Q378" s="70" t="n">
        <f aca="false">Q376+Q377</f>
        <v>35698.112</v>
      </c>
      <c r="R378" s="70" t="n">
        <f aca="false">R376+R377</f>
        <v>35698.112</v>
      </c>
      <c r="S378" s="70" t="n">
        <f aca="false">S376+S377</f>
        <v>38600.704</v>
      </c>
      <c r="T378" s="70" t="n">
        <f aca="false">T376+T377</f>
        <v>40052</v>
      </c>
      <c r="U378" s="70" t="n">
        <f aca="false">U376+U377</f>
        <v>40052</v>
      </c>
      <c r="V378" s="70" t="n">
        <f aca="false">V376+V377</f>
        <v>38600.704</v>
      </c>
      <c r="W378" s="70" t="n">
        <f aca="false">W376+W377</f>
        <v>35698.112</v>
      </c>
      <c r="X378" s="70" t="n">
        <f aca="false">X376+X377</f>
        <v>37149.408</v>
      </c>
      <c r="Y378" s="70" t="n">
        <f aca="false">Y376+Y377</f>
        <v>40052</v>
      </c>
      <c r="Z378" s="70" t="n">
        <f aca="false">Z376+Z377</f>
        <v>42954.592</v>
      </c>
      <c r="AA378" s="70" t="n">
        <f aca="false">AA376+AA377</f>
        <v>50211.072</v>
      </c>
      <c r="AB378" s="70" t="n">
        <f aca="false">AB376+AB377</f>
        <v>45857.184</v>
      </c>
    </row>
    <row r="379" customFormat="false" ht="15" hidden="false" customHeight="false" outlineLevel="0" collapsed="false">
      <c r="A379" s="28" t="s">
        <v>717</v>
      </c>
      <c r="B379" s="58" t="s">
        <v>718</v>
      </c>
      <c r="C379" s="59" t="n">
        <f aca="false">SUM(E379:P379)</f>
        <v>502384.6136</v>
      </c>
      <c r="D379" s="59" t="n">
        <f aca="false">SUM(Q379:AB379)</f>
        <v>481541.9968</v>
      </c>
      <c r="E379" s="60" t="n">
        <f aca="false">IF(E$5="A",Inputs_Actuals!E129,Client_Register!$T$23+E378-(E378*MIN(1,Client_Register!$J$23/30)+0*MIN(1,MAX(0,(Client_Register!$J$23-30)/30))+0*MIN(1,MAX(0,(Client_Register!$J$23-60)/30))))</f>
        <v>41393.15</v>
      </c>
      <c r="F379" s="60" t="n">
        <f aca="false">IF(F$5="A",Inputs_Actuals!F129,E380+F378-(F378*MIN(1,Client_Register!$J$23/30)+E378*MIN(1,MAX(0,(Client_Register!$J$23-30)/30))+0*MIN(1,MAX(0,(Client_Register!$J$23-60)/30))))</f>
        <v>34546.01</v>
      </c>
      <c r="G379" s="60" t="n">
        <f aca="false">IF(G$5="A",Inputs_Actuals!G129,F380+G378-(G378*MIN(1,Client_Register!$J$23/30)+F378*MIN(1,MAX(0,(Client_Register!$J$23-30)/30))+E378*MIN(1,MAX(0,(Client_Register!$J$23-60)/30))))</f>
        <v>45393.93</v>
      </c>
      <c r="H379" s="60" t="n">
        <f aca="false">IF(H$5="A",Inputs_Actuals!H129,G380+H378-(H378*MIN(1,Client_Register!$J$23/30)+G378*MIN(1,MAX(0,(Client_Register!$J$23-30)/30))+F378*MIN(1,MAX(0,(Client_Register!$J$23-60)/30))))</f>
        <v>39731.77</v>
      </c>
      <c r="I379" s="60" t="n">
        <f aca="false">IF(I$5="A",Inputs_Actuals!I129,H380+I378-(I378*MIN(1,Client_Register!$J$23/30)+H378*MIN(1,MAX(0,(Client_Register!$J$23-30)/30))+G378*MIN(1,MAX(0,(Client_Register!$J$23-60)/30))))</f>
        <v>36699.01</v>
      </c>
      <c r="J379" s="60" t="n">
        <f aca="false">IF(J$5="A",Inputs_Actuals!J129,I380+J378-(J378*MIN(1,Client_Register!$J$23/30)+I378*MIN(1,MAX(0,(Client_Register!$J$23-30)/30))+H378*MIN(1,MAX(0,(Client_Register!$J$23-60)/30))))</f>
        <v>41232.45</v>
      </c>
      <c r="K379" s="60" t="n">
        <f aca="false">IF(K$5="A",Inputs_Actuals!K129,J380+K378-(K378*MIN(1,Client_Register!$J$23/30)+J378*MIN(1,MAX(0,(Client_Register!$J$23-30)/30))+I378*MIN(1,MAX(0,(Client_Register!$J$23-60)/30))))</f>
        <v>41933.12</v>
      </c>
      <c r="L379" s="60" t="n">
        <f aca="false">IF(L$5="A",Inputs_Actuals!L129,K380+L378-(L378*MIN(1,Client_Register!$J$23/30)+K378*MIN(1,MAX(0,(Client_Register!$J$23-30)/30))+J378*MIN(1,MAX(0,(Client_Register!$J$23-60)/30))))</f>
        <v>37332.35</v>
      </c>
      <c r="M379" s="60" t="n">
        <f aca="false">IF(M$5="A",Inputs_Actuals!M129,L380+M378-(M378*MIN(1,Client_Register!$J$23/30)+L378*MIN(1,MAX(0,(Client_Register!$J$23-30)/30))+K378*MIN(1,MAX(0,(Client_Register!$J$23-60)/30))))</f>
        <v>41973.8529333333</v>
      </c>
      <c r="N379" s="60" t="n">
        <f aca="false">IF(N$5="A",Inputs_Actuals!N129,M380+N378-(N378*MIN(1,Client_Register!$J$23/30)+M378*MIN(1,MAX(0,(Client_Register!$J$23-30)/30))+L378*MIN(1,MAX(0,(Client_Register!$J$23-60)/30))))</f>
        <v>43343.1253333333</v>
      </c>
      <c r="O379" s="60" t="n">
        <f aca="false">IF(O$5="A",Inputs_Actuals!O129,N380+O378-(O378*MIN(1,Client_Register!$J$23/30)+N378*MIN(1,MAX(0,(Client_Register!$J$23-30)/30))+M378*MIN(1,MAX(0,(Client_Register!$J$23-60)/30))))</f>
        <v>48842.7733333333</v>
      </c>
      <c r="P379" s="60" t="n">
        <f aca="false">IF(P$5="A",Inputs_Actuals!P129,O380+P378-(P378*MIN(1,Client_Register!$J$23/30)+O378*MIN(1,MAX(0,(Client_Register!$J$23-30)/30))+N378*MIN(1,MAX(0,(Client_Register!$J$23-60)/30))))</f>
        <v>49963.072</v>
      </c>
      <c r="Q379" s="60" t="n">
        <f aca="false">IF(Q$5="A",Inputs_Actuals!Q129,P380+Q378-(Q378*MIN(1,Client_Register!$J$23/30)+P378*MIN(1,MAX(0,(Client_Register!$J$23-30)/30))+O378*MIN(1,MAX(0,(Client_Register!$J$23-60)/30))))</f>
        <v>41357.0090666667</v>
      </c>
      <c r="R379" s="60" t="n">
        <f aca="false">IF(R$5="A",Inputs_Actuals!R129,Q380+R378-(R378*MIN(1,Client_Register!$J$23/30)+Q378*MIN(1,MAX(0,(Client_Register!$J$23-30)/30))+P378*MIN(1,MAX(0,(Client_Register!$J$23-60)/30))))</f>
        <v>35698.112</v>
      </c>
      <c r="S379" s="60" t="n">
        <f aca="false">IF(S$5="A",Inputs_Actuals!S129,R380+S378-(S378*MIN(1,Client_Register!$J$23/30)+R378*MIN(1,MAX(0,(Client_Register!$J$23-30)/30))+Q378*MIN(1,MAX(0,(Client_Register!$J$23-60)/30))))</f>
        <v>37246.1610666667</v>
      </c>
      <c r="T379" s="60" t="n">
        <f aca="false">IF(T$5="A",Inputs_Actuals!T129,S380+T378-(T378*MIN(1,Client_Register!$J$23/30)+S378*MIN(1,MAX(0,(Client_Register!$J$23-30)/30))+R378*MIN(1,MAX(0,(Client_Register!$J$23-60)/30))))</f>
        <v>39374.7285333333</v>
      </c>
      <c r="U379" s="60" t="n">
        <f aca="false">IF(U$5="A",Inputs_Actuals!U129,T380+U378-(U378*MIN(1,Client_Register!$J$23/30)+T378*MIN(1,MAX(0,(Client_Register!$J$23-30)/30))+S378*MIN(1,MAX(0,(Client_Register!$J$23-60)/30))))</f>
        <v>40052</v>
      </c>
      <c r="V379" s="60" t="n">
        <f aca="false">IF(V$5="A",Inputs_Actuals!V129,U380+V378-(V378*MIN(1,Client_Register!$J$23/30)+U378*MIN(1,MAX(0,(Client_Register!$J$23-30)/30))+T378*MIN(1,MAX(0,(Client_Register!$J$23-60)/30))))</f>
        <v>39277.9754666667</v>
      </c>
      <c r="W379" s="60" t="n">
        <f aca="false">IF(W$5="A",Inputs_Actuals!W129,V380+W378-(W378*MIN(1,Client_Register!$J$23/30)+V378*MIN(1,MAX(0,(Client_Register!$J$23-30)/30))+U378*MIN(1,MAX(0,(Client_Register!$J$23-60)/30))))</f>
        <v>37052.6549333333</v>
      </c>
      <c r="X379" s="60" t="n">
        <f aca="false">IF(X$5="A",Inputs_Actuals!X129,W380+X378-(X378*MIN(1,Client_Register!$J$23/30)+W378*MIN(1,MAX(0,(Client_Register!$J$23-30)/30))+V378*MIN(1,MAX(0,(Client_Register!$J$23-60)/30))))</f>
        <v>36472.1365333333</v>
      </c>
      <c r="Y379" s="60" t="n">
        <f aca="false">IF(Y$5="A",Inputs_Actuals!Y129,X380+Y378-(Y378*MIN(1,Client_Register!$J$23/30)+X378*MIN(1,MAX(0,(Client_Register!$J$23-30)/30))+W378*MIN(1,MAX(0,(Client_Register!$J$23-60)/30))))</f>
        <v>38697.4570666667</v>
      </c>
      <c r="Z379" s="60" t="n">
        <f aca="false">IF(Z$5="A",Inputs_Actuals!Z129,Y380+Z378-(Z378*MIN(1,Client_Register!$J$23/30)+Y378*MIN(1,MAX(0,(Client_Register!$J$23-30)/30))+X378*MIN(1,MAX(0,(Client_Register!$J$23-60)/30))))</f>
        <v>41600.0490666667</v>
      </c>
      <c r="AA379" s="60" t="n">
        <f aca="false">IF(AA$5="A",Inputs_Actuals!AA129,Z380+AA378-(AA378*MIN(1,Client_Register!$J$23/30)+Z378*MIN(1,MAX(0,(Client_Register!$J$23-30)/30))+Y378*MIN(1,MAX(0,(Client_Register!$J$23-60)/30))))</f>
        <v>46824.7146666667</v>
      </c>
      <c r="AB379" s="60" t="n">
        <f aca="false">IF(AB$5="A",Inputs_Actuals!AB129,AA380+AB378-(AB378*MIN(1,Client_Register!$J$23/30)+AA378*MIN(1,MAX(0,(Client_Register!$J$23-30)/30))+Z378*MIN(1,MAX(0,(Client_Register!$J$23-60)/30))))</f>
        <v>47888.9984</v>
      </c>
    </row>
    <row r="380" customFormat="false" ht="15" hidden="false" customHeight="false" outlineLevel="0" collapsed="false">
      <c r="A380" s="68" t="s">
        <v>719</v>
      </c>
      <c r="B380" s="69" t="s">
        <v>720</v>
      </c>
      <c r="C380" s="70" t="n">
        <f aca="false">P380</f>
        <v>22318.016</v>
      </c>
      <c r="D380" s="70" t="n">
        <f aca="false">AB380</f>
        <v>21400.0192</v>
      </c>
      <c r="E380" s="74" t="n">
        <f aca="false">Client_Register!$T$23+E378-E379</f>
        <v>17016.1596</v>
      </c>
      <c r="F380" s="70" t="n">
        <f aca="false">E380+F378-F379</f>
        <v>20672.4168</v>
      </c>
      <c r="G380" s="70" t="n">
        <f aca="false">F380+G378-G379</f>
        <v>14357.2232</v>
      </c>
      <c r="H380" s="70" t="n">
        <f aca="false">G380+H378-H379</f>
        <v>15460.9844</v>
      </c>
      <c r="I380" s="70" t="n">
        <f aca="false">H380+I378-I379</f>
        <v>18532.5192</v>
      </c>
      <c r="J380" s="70" t="n">
        <f aca="false">I380+J378-J379</f>
        <v>18143.028</v>
      </c>
      <c r="K380" s="70" t="n">
        <f aca="false">J380+K378-K379</f>
        <v>15466.4852</v>
      </c>
      <c r="L380" s="70" t="n">
        <f aca="false">K380+L378-L379</f>
        <v>19726.5996</v>
      </c>
      <c r="M380" s="70" t="n">
        <f aca="false">L380+M378-M379</f>
        <v>19466.3466666667</v>
      </c>
      <c r="N380" s="70" t="n">
        <f aca="false">M380+N378-N379</f>
        <v>20892.1813333333</v>
      </c>
      <c r="O380" s="70" t="n">
        <f aca="false">N380+O378-O379</f>
        <v>24456.768</v>
      </c>
      <c r="P380" s="70" t="n">
        <f aca="false">O380+P378-P379</f>
        <v>22318.016</v>
      </c>
      <c r="Q380" s="70" t="n">
        <f aca="false">P380+Q378-Q379</f>
        <v>16659.1189333333</v>
      </c>
      <c r="R380" s="70" t="n">
        <f aca="false">Q380+R378-R379</f>
        <v>16659.1189333333</v>
      </c>
      <c r="S380" s="70" t="n">
        <f aca="false">R380+S378-S379</f>
        <v>18013.6618666667</v>
      </c>
      <c r="T380" s="70" t="n">
        <f aca="false">S380+T378-T379</f>
        <v>18690.9333333333</v>
      </c>
      <c r="U380" s="70" t="n">
        <f aca="false">T380+U378-U379</f>
        <v>18690.9333333333</v>
      </c>
      <c r="V380" s="70" t="n">
        <f aca="false">U380+V378-V379</f>
        <v>18013.6618666667</v>
      </c>
      <c r="W380" s="70" t="n">
        <f aca="false">V380+W378-W379</f>
        <v>16659.1189333333</v>
      </c>
      <c r="X380" s="70" t="n">
        <f aca="false">W380+X378-X379</f>
        <v>17336.3904</v>
      </c>
      <c r="Y380" s="70" t="n">
        <f aca="false">X380+Y378-Y379</f>
        <v>18690.9333333333</v>
      </c>
      <c r="Z380" s="70" t="n">
        <f aca="false">Y380+Z378-Z379</f>
        <v>20045.4762666667</v>
      </c>
      <c r="AA380" s="70" t="n">
        <f aca="false">Z380+AA378-AA379</f>
        <v>23431.8336</v>
      </c>
      <c r="AB380" s="70" t="n">
        <f aca="false">AA380+AB378-AB379</f>
        <v>21400.0192</v>
      </c>
    </row>
    <row r="381" customFormat="false" ht="15" hidden="false" customHeight="false" outlineLevel="0" collapsed="false">
      <c r="A381" s="28" t="s">
        <v>721</v>
      </c>
      <c r="B381" s="58" t="s">
        <v>722</v>
      </c>
      <c r="C381" s="59" t="n">
        <f aca="false">P381</f>
        <v>0</v>
      </c>
      <c r="D381" s="59" t="n">
        <f aca="false">AB381</f>
        <v>0</v>
      </c>
      <c r="E381" s="60" t="n">
        <f aca="false">Client_Register!$U$23+E369-(E376-E375)</f>
        <v>0</v>
      </c>
      <c r="F381" s="71" t="n">
        <f aca="false">E381+F369-(F376-F375)</f>
        <v>0</v>
      </c>
      <c r="G381" s="71" t="n">
        <f aca="false">F381+G369-(G376-G375)</f>
        <v>0</v>
      </c>
      <c r="H381" s="71" t="n">
        <f aca="false">G381+H369-(H376-H375)</f>
        <v>0</v>
      </c>
      <c r="I381" s="71" t="n">
        <f aca="false">H381+I369-(I376-I375)</f>
        <v>0</v>
      </c>
      <c r="J381" s="71" t="n">
        <f aca="false">I381+J369-(J376-J375)</f>
        <v>0</v>
      </c>
      <c r="K381" s="71" t="n">
        <f aca="false">J381+K369-(K376-K375)</f>
        <v>0</v>
      </c>
      <c r="L381" s="71" t="n">
        <f aca="false">K381+L369-(L376-L375)</f>
        <v>0</v>
      </c>
      <c r="M381" s="71" t="n">
        <f aca="false">L381+M369-(M376-M375)</f>
        <v>0</v>
      </c>
      <c r="N381" s="71" t="n">
        <f aca="false">M381+N369-(N376-N375)</f>
        <v>0</v>
      </c>
      <c r="O381" s="71" t="n">
        <f aca="false">N381+O369-(O376-O375)</f>
        <v>0</v>
      </c>
      <c r="P381" s="71" t="n">
        <f aca="false">O381+P369-(P376-P375)</f>
        <v>0</v>
      </c>
      <c r="Q381" s="71" t="n">
        <f aca="false">P381+Q369-(Q376-Q375)</f>
        <v>0</v>
      </c>
      <c r="R381" s="71" t="n">
        <f aca="false">Q381+R369-(R376-R375)</f>
        <v>0</v>
      </c>
      <c r="S381" s="71" t="n">
        <f aca="false">R381+S369-(S376-S375)</f>
        <v>0</v>
      </c>
      <c r="T381" s="71" t="n">
        <f aca="false">S381+T369-(T376-T375)</f>
        <v>0</v>
      </c>
      <c r="U381" s="71" t="n">
        <f aca="false">T381+U369-(U376-U375)</f>
        <v>0</v>
      </c>
      <c r="V381" s="71" t="n">
        <f aca="false">U381+V369-(V376-V375)</f>
        <v>0</v>
      </c>
      <c r="W381" s="71" t="n">
        <f aca="false">V381+W369-(W376-W375)</f>
        <v>0</v>
      </c>
      <c r="X381" s="71" t="n">
        <f aca="false">W381+X369-(X376-X375)</f>
        <v>0</v>
      </c>
      <c r="Y381" s="71" t="n">
        <f aca="false">X381+Y369-(Y376-Y375)</f>
        <v>0</v>
      </c>
      <c r="Z381" s="71" t="n">
        <f aca="false">Y381+Z369-(Z376-Z375)</f>
        <v>0</v>
      </c>
      <c r="AA381" s="71" t="n">
        <f aca="false">Z381+AA369-(AA376-AA375)</f>
        <v>0</v>
      </c>
      <c r="AB381" s="71" t="n">
        <f aca="false">AA381+AB369-(AB376-AB375)</f>
        <v>0</v>
      </c>
    </row>
    <row r="382" customFormat="false" ht="15" hidden="false" customHeight="false" outlineLevel="0" collapsed="false">
      <c r="A382" s="28" t="s">
        <v>723</v>
      </c>
      <c r="B382" s="58"/>
      <c r="C382" s="59" t="n">
        <f aca="false">P382</f>
        <v>22318.016</v>
      </c>
      <c r="D382" s="59" t="n">
        <f aca="false">AB382</f>
        <v>21400.0192</v>
      </c>
      <c r="E382" s="71" t="n">
        <f aca="false">E380/1</f>
        <v>17016.1596</v>
      </c>
      <c r="F382" s="71" t="n">
        <f aca="false">F380/1</f>
        <v>20672.4168</v>
      </c>
      <c r="G382" s="71" t="n">
        <f aca="false">G380/1</f>
        <v>14357.2232</v>
      </c>
      <c r="H382" s="71" t="n">
        <f aca="false">H380/1</f>
        <v>15460.9844</v>
      </c>
      <c r="I382" s="71" t="n">
        <f aca="false">I380/1</f>
        <v>18532.5192</v>
      </c>
      <c r="J382" s="71" t="n">
        <f aca="false">J380/1</f>
        <v>18143.028</v>
      </c>
      <c r="K382" s="71" t="n">
        <f aca="false">K380/1</f>
        <v>15466.4852</v>
      </c>
      <c r="L382" s="71" t="n">
        <f aca="false">L380/1</f>
        <v>19726.5996</v>
      </c>
      <c r="M382" s="71" t="n">
        <f aca="false">M380/1</f>
        <v>19466.3466666667</v>
      </c>
      <c r="N382" s="71" t="n">
        <f aca="false">N380/1</f>
        <v>20892.1813333333</v>
      </c>
      <c r="O382" s="71" t="n">
        <f aca="false">O380/1</f>
        <v>24456.768</v>
      </c>
      <c r="P382" s="71" t="n">
        <f aca="false">P380/1</f>
        <v>22318.016</v>
      </c>
      <c r="Q382" s="71" t="n">
        <f aca="false">Q380/1</f>
        <v>16659.1189333333</v>
      </c>
      <c r="R382" s="71" t="n">
        <f aca="false">R380/1</f>
        <v>16659.1189333333</v>
      </c>
      <c r="S382" s="71" t="n">
        <f aca="false">S380/1</f>
        <v>18013.6618666667</v>
      </c>
      <c r="T382" s="71" t="n">
        <f aca="false">T380/1</f>
        <v>18690.9333333333</v>
      </c>
      <c r="U382" s="71" t="n">
        <f aca="false">U380/1</f>
        <v>18690.9333333333</v>
      </c>
      <c r="V382" s="71" t="n">
        <f aca="false">V380/1</f>
        <v>18013.6618666667</v>
      </c>
      <c r="W382" s="71" t="n">
        <f aca="false">W380/1</f>
        <v>16659.1189333333</v>
      </c>
      <c r="X382" s="71" t="n">
        <f aca="false">X380/1</f>
        <v>17336.3904</v>
      </c>
      <c r="Y382" s="71" t="n">
        <f aca="false">Y380/1</f>
        <v>18690.9333333333</v>
      </c>
      <c r="Z382" s="71" t="n">
        <f aca="false">Z380/1</f>
        <v>20045.4762666667</v>
      </c>
      <c r="AA382" s="71" t="n">
        <f aca="false">AA380/1</f>
        <v>23431.8336</v>
      </c>
      <c r="AB382" s="71" t="n">
        <f aca="false">AB380/1</f>
        <v>21400.0192</v>
      </c>
    </row>
    <row r="383" customFormat="false" ht="15" hidden="false" customHeight="false" outlineLevel="0" collapsed="false">
      <c r="A383" s="28" t="s">
        <v>724</v>
      </c>
      <c r="B383" s="58"/>
      <c r="C383" s="66" t="n">
        <f aca="false">P383</f>
        <v>14.0372005199425</v>
      </c>
      <c r="D383" s="66" t="n">
        <f aca="false">AB383</f>
        <v>14.038568329718</v>
      </c>
      <c r="E383" s="72" t="n">
        <f aca="false">IFERROR(E380/AVERAGE(E378:E378)*30.4,0)</f>
        <v>14.4091389301697</v>
      </c>
      <c r="F383" s="72" t="n">
        <f aca="false">IFERROR(F380/AVERAGE(E378:F378)*30.4,0)</f>
        <v>16.9614137894223</v>
      </c>
      <c r="G383" s="72" t="n">
        <f aca="false">IFERROR(G380/AVERAGE(E378:G378)*30.4,0)</f>
        <v>11.5688691005418</v>
      </c>
      <c r="H383" s="72" t="n">
        <f aca="false">IFERROR(H380/AVERAGE(F378:H378)*30.4,0)</f>
        <v>11.9377171000448</v>
      </c>
      <c r="I383" s="72" t="n">
        <f aca="false">IFERROR(I380/AVERAGE(G378:I378)*30.4,0)</f>
        <v>14.1218064109194</v>
      </c>
      <c r="J383" s="72" t="n">
        <f aca="false">IFERROR(J380/AVERAGE(H378:J378)*30.4,0)</f>
        <v>13.6241852915903</v>
      </c>
      <c r="K383" s="72" t="n">
        <f aca="false">IFERROR(K380/AVERAGE(I378:K378)*30.4,0)</f>
        <v>11.7672687031341</v>
      </c>
      <c r="L383" s="72" t="n">
        <f aca="false">IFERROR(L380/AVERAGE(J378:L378)*30.4,0)</f>
        <v>14.7837645663355</v>
      </c>
      <c r="M383" s="72" t="n">
        <f aca="false">IFERROR(M380/AVERAGE(K378:M378)*30.4,0)</f>
        <v>14.4850893618468</v>
      </c>
      <c r="N383" s="72" t="n">
        <f aca="false">IFERROR(N380/AVERAGE(L378:N378)*30.4,0)</f>
        <v>14.8769593956837</v>
      </c>
      <c r="O383" s="72" t="n">
        <f aca="false">IFERROR(O380/AVERAGE(M378:O378)*30.4,0)</f>
        <v>16.0591729162203</v>
      </c>
      <c r="P383" s="72" t="n">
        <f aca="false">IFERROR(P380/AVERAGE(N378:P378)*30.4,0)</f>
        <v>14.0372005199425</v>
      </c>
      <c r="Q383" s="72" t="n">
        <f aca="false">IFERROR(Q380/AVERAGE(O378:Q378)*30.4,0)</f>
        <v>11.1771792214616</v>
      </c>
      <c r="R383" s="72" t="n">
        <f aca="false">IFERROR(R380/AVERAGE(P378:R378)*30.4,0)</f>
        <v>12.7437067114876</v>
      </c>
      <c r="S383" s="72" t="n">
        <f aca="false">IFERROR(S380/AVERAGE(Q378:S378)*30.4,0)</f>
        <v>14.9353803975326</v>
      </c>
      <c r="T383" s="72" t="n">
        <f aca="false">IFERROR(T380/AVERAGE(R378:T378)*30.4,0)</f>
        <v>14.9068732487226</v>
      </c>
      <c r="U383" s="72" t="n">
        <f aca="false">IFERROR(U380/AVERAGE(S378:U378)*30.4,0)</f>
        <v>14.360114322007</v>
      </c>
      <c r="V383" s="72" t="n">
        <f aca="false">IFERROR(V380/AVERAGE(T378:V378)*30.4,0)</f>
        <v>13.839771355986</v>
      </c>
      <c r="W383" s="72" t="n">
        <f aca="false">IFERROR(W380/AVERAGE(U378:W378)*30.4,0)</f>
        <v>13.2864084390968</v>
      </c>
      <c r="X383" s="72" t="n">
        <f aca="false">IFERROR(X380/AVERAGE(V378:X378)*30.4,0)</f>
        <v>14.1866666666667</v>
      </c>
      <c r="Y383" s="72" t="n">
        <f aca="false">IFERROR(Y380/AVERAGE(W378:Y378)*30.4,0)</f>
        <v>15.0984974958264</v>
      </c>
      <c r="Z383" s="72" t="n">
        <f aca="false">IFERROR(Z380/AVERAGE(X378:Z378)*30.4,0)</f>
        <v>15.214782745098</v>
      </c>
      <c r="AA383" s="72" t="n">
        <f aca="false">IFERROR(AA380/AVERAGE(Y378:AA378)*30.4,0)</f>
        <v>16.0412903225806</v>
      </c>
      <c r="AB383" s="72" t="n">
        <f aca="false">IFERROR(AB380/AVERAGE(Z378:AB378)*30.4,0)</f>
        <v>14.038568329718</v>
      </c>
    </row>
    <row r="385" customFormat="false" ht="15" hidden="false" customHeight="false" outlineLevel="0" collapsed="false">
      <c r="A385" s="22" t="s">
        <v>750</v>
      </c>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row>
    <row r="386" customFormat="false" ht="15" hidden="false" customHeight="false" outlineLevel="0" collapsed="false">
      <c r="A386" s="28" t="s">
        <v>331</v>
      </c>
      <c r="B386" s="58" t="s">
        <v>49</v>
      </c>
      <c r="C386" s="59" t="n">
        <f aca="false">SUM(E386:P386)</f>
        <v>0</v>
      </c>
      <c r="D386" s="59" t="n">
        <f aca="false">SUM(Q386:AB386)</f>
        <v>0</v>
      </c>
      <c r="E386" s="71" t="n">
        <f aca="false">0</f>
        <v>0</v>
      </c>
      <c r="F386" s="71" t="n">
        <f aca="false">0</f>
        <v>0</v>
      </c>
      <c r="G386" s="71" t="n">
        <f aca="false">0</f>
        <v>0</v>
      </c>
      <c r="H386" s="71" t="n">
        <f aca="false">0</f>
        <v>0</v>
      </c>
      <c r="I386" s="71" t="n">
        <f aca="false">0</f>
        <v>0</v>
      </c>
      <c r="J386" s="71" t="n">
        <f aca="false">0</f>
        <v>0</v>
      </c>
      <c r="K386" s="71" t="n">
        <f aca="false">0</f>
        <v>0</v>
      </c>
      <c r="L386" s="71" t="n">
        <f aca="false">0</f>
        <v>0</v>
      </c>
      <c r="M386" s="71" t="n">
        <f aca="false">0</f>
        <v>0</v>
      </c>
      <c r="N386" s="71" t="n">
        <f aca="false">0</f>
        <v>0</v>
      </c>
      <c r="O386" s="71" t="n">
        <f aca="false">0</f>
        <v>0</v>
      </c>
      <c r="P386" s="71" t="n">
        <f aca="false">0</f>
        <v>0</v>
      </c>
      <c r="Q386" s="71" t="n">
        <f aca="false">0</f>
        <v>0</v>
      </c>
      <c r="R386" s="71" t="n">
        <f aca="false">0</f>
        <v>0</v>
      </c>
      <c r="S386" s="71" t="n">
        <f aca="false">0</f>
        <v>0</v>
      </c>
      <c r="T386" s="71" t="n">
        <f aca="false">0</f>
        <v>0</v>
      </c>
      <c r="U386" s="71" t="n">
        <f aca="false">0</f>
        <v>0</v>
      </c>
      <c r="V386" s="71" t="n">
        <f aca="false">0</f>
        <v>0</v>
      </c>
      <c r="W386" s="71" t="n">
        <f aca="false">0</f>
        <v>0</v>
      </c>
      <c r="X386" s="71" t="n">
        <f aca="false">0</f>
        <v>0</v>
      </c>
      <c r="Y386" s="71" t="n">
        <f aca="false">0</f>
        <v>0</v>
      </c>
      <c r="Z386" s="71" t="n">
        <f aca="false">0</f>
        <v>0</v>
      </c>
      <c r="AA386" s="71" t="n">
        <f aca="false">0</f>
        <v>0</v>
      </c>
      <c r="AB386" s="71" t="n">
        <f aca="false">0</f>
        <v>0</v>
      </c>
    </row>
    <row r="387" customFormat="false" ht="15" hidden="false" customHeight="false" outlineLevel="0" collapsed="false">
      <c r="A387" s="28" t="s">
        <v>700</v>
      </c>
      <c r="B387" s="58" t="s">
        <v>51</v>
      </c>
      <c r="C387" s="59" t="n">
        <f aca="false">SUM(E387:P387)</f>
        <v>0</v>
      </c>
      <c r="D387" s="59" t="n">
        <f aca="false">SUM(Q387:AB387)</f>
        <v>0</v>
      </c>
      <c r="E387" s="71" t="n">
        <f aca="false">0</f>
        <v>0</v>
      </c>
      <c r="F387" s="71" t="n">
        <f aca="false">0</f>
        <v>0</v>
      </c>
      <c r="G387" s="71" t="n">
        <f aca="false">0</f>
        <v>0</v>
      </c>
      <c r="H387" s="71" t="n">
        <f aca="false">0</f>
        <v>0</v>
      </c>
      <c r="I387" s="71" t="n">
        <f aca="false">0</f>
        <v>0</v>
      </c>
      <c r="J387" s="71" t="n">
        <f aca="false">0</f>
        <v>0</v>
      </c>
      <c r="K387" s="71" t="n">
        <f aca="false">0</f>
        <v>0</v>
      </c>
      <c r="L387" s="71" t="n">
        <f aca="false">0</f>
        <v>0</v>
      </c>
      <c r="M387" s="71" t="n">
        <f aca="false">0</f>
        <v>0</v>
      </c>
      <c r="N387" s="71" t="n">
        <f aca="false">0</f>
        <v>0</v>
      </c>
      <c r="O387" s="71" t="n">
        <f aca="false">0</f>
        <v>0</v>
      </c>
      <c r="P387" s="71" t="n">
        <f aca="false">0</f>
        <v>0</v>
      </c>
      <c r="Q387" s="71" t="n">
        <f aca="false">0</f>
        <v>0</v>
      </c>
      <c r="R387" s="71" t="n">
        <f aca="false">0</f>
        <v>0</v>
      </c>
      <c r="S387" s="71" t="n">
        <f aca="false">0</f>
        <v>0</v>
      </c>
      <c r="T387" s="71" t="n">
        <f aca="false">0</f>
        <v>0</v>
      </c>
      <c r="U387" s="71" t="n">
        <f aca="false">0</f>
        <v>0</v>
      </c>
      <c r="V387" s="71" t="n">
        <f aca="false">0</f>
        <v>0</v>
      </c>
      <c r="W387" s="71" t="n">
        <f aca="false">0</f>
        <v>0</v>
      </c>
      <c r="X387" s="71" t="n">
        <f aca="false">0</f>
        <v>0</v>
      </c>
      <c r="Y387" s="71" t="n">
        <f aca="false">0</f>
        <v>0</v>
      </c>
      <c r="Z387" s="71" t="n">
        <f aca="false">0</f>
        <v>0</v>
      </c>
      <c r="AA387" s="71" t="n">
        <f aca="false">0</f>
        <v>0</v>
      </c>
      <c r="AB387" s="71" t="n">
        <f aca="false">0</f>
        <v>0</v>
      </c>
    </row>
    <row r="388" customFormat="false" ht="15" hidden="false" customHeight="false" outlineLevel="0" collapsed="false">
      <c r="A388" s="28" t="s">
        <v>333</v>
      </c>
      <c r="B388" s="58" t="s">
        <v>53</v>
      </c>
      <c r="C388" s="59" t="n">
        <f aca="false">SUM(E388:P388)</f>
        <v>114069.58046459</v>
      </c>
      <c r="D388" s="59" t="n">
        <f aca="false">SUM(Q388:AB388)</f>
        <v>119662.040933819</v>
      </c>
      <c r="E388" s="60" t="n">
        <f aca="false">TM_Media!E30</f>
        <v>9664.16</v>
      </c>
      <c r="F388" s="60" t="n">
        <f aca="false">TM_Media!F30</f>
        <v>8800.24</v>
      </c>
      <c r="G388" s="60" t="n">
        <f aca="false">TM_Media!G30</f>
        <v>10139.03</v>
      </c>
      <c r="H388" s="60" t="n">
        <f aca="false">TM_Media!H30</f>
        <v>11354.68</v>
      </c>
      <c r="I388" s="60" t="n">
        <f aca="false">TM_Media!I30</f>
        <v>9303.4</v>
      </c>
      <c r="J388" s="60" t="n">
        <f aca="false">TM_Media!J30</f>
        <v>9936.04</v>
      </c>
      <c r="K388" s="60" t="n">
        <f aca="false">TM_Media!K30</f>
        <v>7682.8</v>
      </c>
      <c r="L388" s="60" t="n">
        <f aca="false">TM_Media!L30</f>
        <v>7732.64</v>
      </c>
      <c r="M388" s="60" t="n">
        <f aca="false">TM_Media!M30</f>
        <v>10459.9686130961</v>
      </c>
      <c r="N388" s="60" t="n">
        <f aca="false">TM_Media!N30</f>
        <v>10857.1826110617</v>
      </c>
      <c r="O388" s="60" t="n">
        <f aca="false">TM_Media!O30</f>
        <v>10062.7546151304</v>
      </c>
      <c r="P388" s="60" t="n">
        <f aca="false">TM_Media!P30</f>
        <v>8076.68462530201</v>
      </c>
      <c r="Q388" s="60" t="n">
        <f aca="false">TM_Media!Q30</f>
        <v>10465.2647997356</v>
      </c>
      <c r="R388" s="60" t="n">
        <f aca="false">TM_Media!R30</f>
        <v>10052.1622418513</v>
      </c>
      <c r="S388" s="60" t="n">
        <f aca="false">TM_Media!S30</f>
        <v>10878.3673576199</v>
      </c>
      <c r="T388" s="60" t="n">
        <f aca="false">TM_Media!T30</f>
        <v>10327.5639471075</v>
      </c>
      <c r="U388" s="60" t="n">
        <f aca="false">TM_Media!U30</f>
        <v>10327.5639471075</v>
      </c>
      <c r="V388" s="60" t="n">
        <f aca="false">TM_Media!V30</f>
        <v>9501.35883133889</v>
      </c>
      <c r="W388" s="60" t="n">
        <f aca="false">TM_Media!W30</f>
        <v>7711.2477471736</v>
      </c>
      <c r="X388" s="60" t="n">
        <f aca="false">TM_Media!X30</f>
        <v>9363.6579787108</v>
      </c>
      <c r="Y388" s="60" t="n">
        <f aca="false">TM_Media!Y30</f>
        <v>10878.3673576199</v>
      </c>
      <c r="Z388" s="60" t="n">
        <f aca="false">TM_Media!Z30</f>
        <v>11291.4699155042</v>
      </c>
      <c r="AA388" s="60" t="n">
        <f aca="false">TM_Media!AA30</f>
        <v>10465.2647997356</v>
      </c>
      <c r="AB388" s="60" t="n">
        <f aca="false">TM_Media!AB30</f>
        <v>8399.7520103141</v>
      </c>
    </row>
    <row r="389" customFormat="false" ht="15" hidden="false" customHeight="false" outlineLevel="0" collapsed="false">
      <c r="A389" s="28" t="s">
        <v>334</v>
      </c>
      <c r="B389" s="58" t="s">
        <v>53</v>
      </c>
      <c r="C389" s="59" t="n">
        <f aca="false">SUM(E389:P389)</f>
        <v>0</v>
      </c>
      <c r="D389" s="59" t="n">
        <f aca="false">SUM(Q389:AB389)</f>
        <v>0</v>
      </c>
      <c r="E389" s="71" t="n">
        <f aca="false">0</f>
        <v>0</v>
      </c>
      <c r="F389" s="71" t="n">
        <f aca="false">0</f>
        <v>0</v>
      </c>
      <c r="G389" s="71" t="n">
        <f aca="false">0</f>
        <v>0</v>
      </c>
      <c r="H389" s="71" t="n">
        <f aca="false">0</f>
        <v>0</v>
      </c>
      <c r="I389" s="71" t="n">
        <f aca="false">0</f>
        <v>0</v>
      </c>
      <c r="J389" s="71" t="n">
        <f aca="false">0</f>
        <v>0</v>
      </c>
      <c r="K389" s="71" t="n">
        <f aca="false">0</f>
        <v>0</v>
      </c>
      <c r="L389" s="71" t="n">
        <f aca="false">0</f>
        <v>0</v>
      </c>
      <c r="M389" s="71" t="n">
        <f aca="false">0</f>
        <v>0</v>
      </c>
      <c r="N389" s="71" t="n">
        <f aca="false">0</f>
        <v>0</v>
      </c>
      <c r="O389" s="71" t="n">
        <f aca="false">0</f>
        <v>0</v>
      </c>
      <c r="P389" s="71" t="n">
        <f aca="false">0</f>
        <v>0</v>
      </c>
      <c r="Q389" s="71" t="n">
        <f aca="false">0</f>
        <v>0</v>
      </c>
      <c r="R389" s="71" t="n">
        <f aca="false">0</f>
        <v>0</v>
      </c>
      <c r="S389" s="71" t="n">
        <f aca="false">0</f>
        <v>0</v>
      </c>
      <c r="T389" s="71" t="n">
        <f aca="false">0</f>
        <v>0</v>
      </c>
      <c r="U389" s="71" t="n">
        <f aca="false">0</f>
        <v>0</v>
      </c>
      <c r="V389" s="71" t="n">
        <f aca="false">0</f>
        <v>0</v>
      </c>
      <c r="W389" s="71" t="n">
        <f aca="false">0</f>
        <v>0</v>
      </c>
      <c r="X389" s="71" t="n">
        <f aca="false">0</f>
        <v>0</v>
      </c>
      <c r="Y389" s="71" t="n">
        <f aca="false">0</f>
        <v>0</v>
      </c>
      <c r="Z389" s="71" t="n">
        <f aca="false">0</f>
        <v>0</v>
      </c>
      <c r="AA389" s="71" t="n">
        <f aca="false">0</f>
        <v>0</v>
      </c>
      <c r="AB389" s="71" t="n">
        <f aca="false">0</f>
        <v>0</v>
      </c>
    </row>
    <row r="390" customFormat="false" ht="15" hidden="false" customHeight="false" outlineLevel="0" collapsed="false">
      <c r="A390" s="28" t="s">
        <v>701</v>
      </c>
      <c r="B390" s="58" t="s">
        <v>51</v>
      </c>
      <c r="C390" s="59" t="n">
        <f aca="false">SUM(E390:P390)</f>
        <v>0</v>
      </c>
      <c r="D390" s="59" t="n">
        <f aca="false">SUM(Q390:AB390)</f>
        <v>0</v>
      </c>
      <c r="E390" s="71" t="n">
        <f aca="false">0</f>
        <v>0</v>
      </c>
      <c r="F390" s="71" t="n">
        <f aca="false">0</f>
        <v>0</v>
      </c>
      <c r="G390" s="71" t="n">
        <f aca="false">0</f>
        <v>0</v>
      </c>
      <c r="H390" s="71" t="n">
        <f aca="false">0</f>
        <v>0</v>
      </c>
      <c r="I390" s="71" t="n">
        <f aca="false">0</f>
        <v>0</v>
      </c>
      <c r="J390" s="71" t="n">
        <f aca="false">0</f>
        <v>0</v>
      </c>
      <c r="K390" s="71" t="n">
        <f aca="false">0</f>
        <v>0</v>
      </c>
      <c r="L390" s="71" t="n">
        <f aca="false">0</f>
        <v>0</v>
      </c>
      <c r="M390" s="71" t="n">
        <f aca="false">0</f>
        <v>0</v>
      </c>
      <c r="N390" s="71" t="n">
        <f aca="false">0</f>
        <v>0</v>
      </c>
      <c r="O390" s="71" t="n">
        <f aca="false">0</f>
        <v>0</v>
      </c>
      <c r="P390" s="71" t="n">
        <f aca="false">0</f>
        <v>0</v>
      </c>
      <c r="Q390" s="71" t="n">
        <f aca="false">0</f>
        <v>0</v>
      </c>
      <c r="R390" s="71" t="n">
        <f aca="false">0</f>
        <v>0</v>
      </c>
      <c r="S390" s="71" t="n">
        <f aca="false">0</f>
        <v>0</v>
      </c>
      <c r="T390" s="71" t="n">
        <f aca="false">0</f>
        <v>0</v>
      </c>
      <c r="U390" s="71" t="n">
        <f aca="false">0</f>
        <v>0</v>
      </c>
      <c r="V390" s="71" t="n">
        <f aca="false">0</f>
        <v>0</v>
      </c>
      <c r="W390" s="71" t="n">
        <f aca="false">0</f>
        <v>0</v>
      </c>
      <c r="X390" s="71" t="n">
        <f aca="false">0</f>
        <v>0</v>
      </c>
      <c r="Y390" s="71" t="n">
        <f aca="false">0</f>
        <v>0</v>
      </c>
      <c r="Z390" s="71" t="n">
        <f aca="false">0</f>
        <v>0</v>
      </c>
      <c r="AA390" s="71" t="n">
        <f aca="false">0</f>
        <v>0</v>
      </c>
      <c r="AB390" s="71" t="n">
        <f aca="false">0</f>
        <v>0</v>
      </c>
    </row>
    <row r="391" customFormat="false" ht="15" hidden="false" customHeight="false" outlineLevel="0" collapsed="false">
      <c r="A391" s="68" t="s">
        <v>743</v>
      </c>
      <c r="B391" s="69"/>
      <c r="C391" s="70" t="n">
        <f aca="false">SUM(E391:P391)</f>
        <v>114069.58046459</v>
      </c>
      <c r="D391" s="70" t="n">
        <f aca="false">SUM(Q391:AB391)</f>
        <v>119662.040933819</v>
      </c>
      <c r="E391" s="70" t="n">
        <f aca="false">SUM(E386:E390)</f>
        <v>9664.16</v>
      </c>
      <c r="F391" s="70" t="n">
        <f aca="false">SUM(F386:F390)</f>
        <v>8800.24</v>
      </c>
      <c r="G391" s="70" t="n">
        <f aca="false">SUM(G386:G390)</f>
        <v>10139.03</v>
      </c>
      <c r="H391" s="70" t="n">
        <f aca="false">SUM(H386:H390)</f>
        <v>11354.68</v>
      </c>
      <c r="I391" s="70" t="n">
        <f aca="false">SUM(I386:I390)</f>
        <v>9303.4</v>
      </c>
      <c r="J391" s="70" t="n">
        <f aca="false">SUM(J386:J390)</f>
        <v>9936.04</v>
      </c>
      <c r="K391" s="70" t="n">
        <f aca="false">SUM(K386:K390)</f>
        <v>7682.8</v>
      </c>
      <c r="L391" s="70" t="n">
        <f aca="false">SUM(L386:L390)</f>
        <v>7732.64</v>
      </c>
      <c r="M391" s="70" t="n">
        <f aca="false">SUM(M386:M390)</f>
        <v>10459.9686130961</v>
      </c>
      <c r="N391" s="70" t="n">
        <f aca="false">SUM(N386:N390)</f>
        <v>10857.1826110617</v>
      </c>
      <c r="O391" s="70" t="n">
        <f aca="false">SUM(O386:O390)</f>
        <v>10062.7546151304</v>
      </c>
      <c r="P391" s="70" t="n">
        <f aca="false">SUM(P386:P390)</f>
        <v>8076.68462530201</v>
      </c>
      <c r="Q391" s="70" t="n">
        <f aca="false">SUM(Q386:Q390)</f>
        <v>10465.2647997356</v>
      </c>
      <c r="R391" s="70" t="n">
        <f aca="false">SUM(R386:R390)</f>
        <v>10052.1622418513</v>
      </c>
      <c r="S391" s="70" t="n">
        <f aca="false">SUM(S386:S390)</f>
        <v>10878.3673576199</v>
      </c>
      <c r="T391" s="70" t="n">
        <f aca="false">SUM(T386:T390)</f>
        <v>10327.5639471075</v>
      </c>
      <c r="U391" s="70" t="n">
        <f aca="false">SUM(U386:U390)</f>
        <v>10327.5639471075</v>
      </c>
      <c r="V391" s="70" t="n">
        <f aca="false">SUM(V386:V390)</f>
        <v>9501.35883133889</v>
      </c>
      <c r="W391" s="70" t="n">
        <f aca="false">SUM(W386:W390)</f>
        <v>7711.2477471736</v>
      </c>
      <c r="X391" s="70" t="n">
        <f aca="false">SUM(X386:X390)</f>
        <v>9363.6579787108</v>
      </c>
      <c r="Y391" s="70" t="n">
        <f aca="false">SUM(Y386:Y390)</f>
        <v>10878.3673576199</v>
      </c>
      <c r="Z391" s="70" t="n">
        <f aca="false">SUM(Z386:Z390)</f>
        <v>11291.4699155042</v>
      </c>
      <c r="AA391" s="70" t="n">
        <f aca="false">SUM(AA386:AA390)</f>
        <v>10465.2647997356</v>
      </c>
      <c r="AB391" s="70" t="n">
        <f aca="false">SUM(AB386:AB390)</f>
        <v>8399.7520103141</v>
      </c>
    </row>
    <row r="392" customFormat="false" ht="15" hidden="false" customHeight="false" outlineLevel="0" collapsed="false">
      <c r="A392" s="28" t="s">
        <v>703</v>
      </c>
      <c r="B392" s="58"/>
      <c r="C392" s="59" t="n">
        <f aca="false">SUM(E392:P392)</f>
        <v>114069.58046459</v>
      </c>
      <c r="D392" s="59" t="n">
        <f aca="false">SUM(Q392:AB392)</f>
        <v>119662.040933819</v>
      </c>
      <c r="E392" s="71" t="n">
        <f aca="false">E391/1</f>
        <v>9664.16</v>
      </c>
      <c r="F392" s="71" t="n">
        <f aca="false">F391/1</f>
        <v>8800.24</v>
      </c>
      <c r="G392" s="71" t="n">
        <f aca="false">G391/1</f>
        <v>10139.03</v>
      </c>
      <c r="H392" s="71" t="n">
        <f aca="false">H391/1</f>
        <v>11354.68</v>
      </c>
      <c r="I392" s="71" t="n">
        <f aca="false">I391/1</f>
        <v>9303.4</v>
      </c>
      <c r="J392" s="71" t="n">
        <f aca="false">J391/1</f>
        <v>9936.04</v>
      </c>
      <c r="K392" s="71" t="n">
        <f aca="false">K391/1</f>
        <v>7682.8</v>
      </c>
      <c r="L392" s="71" t="n">
        <f aca="false">L391/1</f>
        <v>7732.64</v>
      </c>
      <c r="M392" s="71" t="n">
        <f aca="false">M391/1</f>
        <v>10459.9686130961</v>
      </c>
      <c r="N392" s="71" t="n">
        <f aca="false">N391/1</f>
        <v>10857.1826110617</v>
      </c>
      <c r="O392" s="71" t="n">
        <f aca="false">O391/1</f>
        <v>10062.7546151304</v>
      </c>
      <c r="P392" s="71" t="n">
        <f aca="false">P391/1</f>
        <v>8076.68462530201</v>
      </c>
      <c r="Q392" s="71" t="n">
        <f aca="false">Q391/1</f>
        <v>10465.2647997356</v>
      </c>
      <c r="R392" s="71" t="n">
        <f aca="false">R391/1</f>
        <v>10052.1622418513</v>
      </c>
      <c r="S392" s="71" t="n">
        <f aca="false">S391/1</f>
        <v>10878.3673576199</v>
      </c>
      <c r="T392" s="71" t="n">
        <f aca="false">T391/1</f>
        <v>10327.5639471075</v>
      </c>
      <c r="U392" s="71" t="n">
        <f aca="false">U391/1</f>
        <v>10327.5639471075</v>
      </c>
      <c r="V392" s="71" t="n">
        <f aca="false">V391/1</f>
        <v>9501.35883133889</v>
      </c>
      <c r="W392" s="71" t="n">
        <f aca="false">W391/1</f>
        <v>7711.2477471736</v>
      </c>
      <c r="X392" s="71" t="n">
        <f aca="false">X391/1</f>
        <v>9363.6579787108</v>
      </c>
      <c r="Y392" s="71" t="n">
        <f aca="false">Y391/1</f>
        <v>10878.3673576199</v>
      </c>
      <c r="Z392" s="71" t="n">
        <f aca="false">Z391/1</f>
        <v>11291.4699155042</v>
      </c>
      <c r="AA392" s="71" t="n">
        <f aca="false">AA391/1</f>
        <v>10465.2647997356</v>
      </c>
      <c r="AB392" s="71" t="n">
        <f aca="false">AB391/1</f>
        <v>8399.7520103141</v>
      </c>
    </row>
    <row r="393" customFormat="false" ht="15" hidden="false" customHeight="false" outlineLevel="0" collapsed="false">
      <c r="A393" s="28" t="s">
        <v>704</v>
      </c>
      <c r="B393" s="58" t="s">
        <v>51</v>
      </c>
      <c r="C393" s="59" t="n">
        <f aca="false">SUM(E393:P393)</f>
        <v>0</v>
      </c>
      <c r="D393" s="59" t="n">
        <f aca="false">SUM(Q393:AB393)</f>
        <v>0</v>
      </c>
      <c r="E393" s="71" t="n">
        <f aca="false">0</f>
        <v>0</v>
      </c>
      <c r="F393" s="71" t="n">
        <f aca="false">0</f>
        <v>0</v>
      </c>
      <c r="G393" s="71" t="n">
        <f aca="false">0</f>
        <v>0</v>
      </c>
      <c r="H393" s="71" t="n">
        <f aca="false">0</f>
        <v>0</v>
      </c>
      <c r="I393" s="71" t="n">
        <f aca="false">0</f>
        <v>0</v>
      </c>
      <c r="J393" s="71" t="n">
        <f aca="false">0</f>
        <v>0</v>
      </c>
      <c r="K393" s="71" t="n">
        <f aca="false">0</f>
        <v>0</v>
      </c>
      <c r="L393" s="71" t="n">
        <f aca="false">0</f>
        <v>0</v>
      </c>
      <c r="M393" s="71" t="n">
        <f aca="false">0</f>
        <v>0</v>
      </c>
      <c r="N393" s="71" t="n">
        <f aca="false">0</f>
        <v>0</v>
      </c>
      <c r="O393" s="71" t="n">
        <f aca="false">0</f>
        <v>0</v>
      </c>
      <c r="P393" s="71" t="n">
        <f aca="false">0</f>
        <v>0</v>
      </c>
      <c r="Q393" s="71" t="n">
        <f aca="false">0</f>
        <v>0</v>
      </c>
      <c r="R393" s="71" t="n">
        <f aca="false">0</f>
        <v>0</v>
      </c>
      <c r="S393" s="71" t="n">
        <f aca="false">0</f>
        <v>0</v>
      </c>
      <c r="T393" s="71" t="n">
        <f aca="false">0</f>
        <v>0</v>
      </c>
      <c r="U393" s="71" t="n">
        <f aca="false">0</f>
        <v>0</v>
      </c>
      <c r="V393" s="71" t="n">
        <f aca="false">0</f>
        <v>0</v>
      </c>
      <c r="W393" s="71" t="n">
        <f aca="false">0</f>
        <v>0</v>
      </c>
      <c r="X393" s="71" t="n">
        <f aca="false">0</f>
        <v>0</v>
      </c>
      <c r="Y393" s="71" t="n">
        <f aca="false">0</f>
        <v>0</v>
      </c>
      <c r="Z393" s="71" t="n">
        <f aca="false">0</f>
        <v>0</v>
      </c>
      <c r="AA393" s="71" t="n">
        <f aca="false">0</f>
        <v>0</v>
      </c>
      <c r="AB393" s="71" t="n">
        <f aca="false">0</f>
        <v>0</v>
      </c>
    </row>
    <row r="394" customFormat="false" ht="15" hidden="false" customHeight="false" outlineLevel="0" collapsed="false">
      <c r="A394" s="68" t="s">
        <v>705</v>
      </c>
      <c r="B394" s="69" t="s">
        <v>706</v>
      </c>
      <c r="C394" s="70" t="n">
        <f aca="false">SUM(E394:P394)</f>
        <v>114069.58046459</v>
      </c>
      <c r="D394" s="70" t="n">
        <f aca="false">SUM(Q394:AB394)</f>
        <v>119662.040933819</v>
      </c>
      <c r="E394" s="70" t="n">
        <f aca="false">E392-E393</f>
        <v>9664.16</v>
      </c>
      <c r="F394" s="70" t="n">
        <f aca="false">F392-F393</f>
        <v>8800.24</v>
      </c>
      <c r="G394" s="70" t="n">
        <f aca="false">G392-G393</f>
        <v>10139.03</v>
      </c>
      <c r="H394" s="70" t="n">
        <f aca="false">H392-H393</f>
        <v>11354.68</v>
      </c>
      <c r="I394" s="70" t="n">
        <f aca="false">I392-I393</f>
        <v>9303.4</v>
      </c>
      <c r="J394" s="70" t="n">
        <f aca="false">J392-J393</f>
        <v>9936.04</v>
      </c>
      <c r="K394" s="70" t="n">
        <f aca="false">K392-K393</f>
        <v>7682.8</v>
      </c>
      <c r="L394" s="70" t="n">
        <f aca="false">L392-L393</f>
        <v>7732.64</v>
      </c>
      <c r="M394" s="70" t="n">
        <f aca="false">M392-M393</f>
        <v>10459.9686130961</v>
      </c>
      <c r="N394" s="70" t="n">
        <f aca="false">N392-N393</f>
        <v>10857.1826110617</v>
      </c>
      <c r="O394" s="70" t="n">
        <f aca="false">O392-O393</f>
        <v>10062.7546151304</v>
      </c>
      <c r="P394" s="70" t="n">
        <f aca="false">P392-P393</f>
        <v>8076.68462530201</v>
      </c>
      <c r="Q394" s="70" t="n">
        <f aca="false">Q392-Q393</f>
        <v>10465.2647997356</v>
      </c>
      <c r="R394" s="70" t="n">
        <f aca="false">R392-R393</f>
        <v>10052.1622418513</v>
      </c>
      <c r="S394" s="70" t="n">
        <f aca="false">S392-S393</f>
        <v>10878.3673576199</v>
      </c>
      <c r="T394" s="70" t="n">
        <f aca="false">T392-T393</f>
        <v>10327.5639471075</v>
      </c>
      <c r="U394" s="70" t="n">
        <f aca="false">U392-U393</f>
        <v>10327.5639471075</v>
      </c>
      <c r="V394" s="70" t="n">
        <f aca="false">V392-V393</f>
        <v>9501.35883133889</v>
      </c>
      <c r="W394" s="70" t="n">
        <f aca="false">W392-W393</f>
        <v>7711.2477471736</v>
      </c>
      <c r="X394" s="70" t="n">
        <f aca="false">X392-X393</f>
        <v>9363.6579787108</v>
      </c>
      <c r="Y394" s="70" t="n">
        <f aca="false">Y392-Y393</f>
        <v>10878.3673576199</v>
      </c>
      <c r="Z394" s="70" t="n">
        <f aca="false">Z392-Z393</f>
        <v>11291.4699155042</v>
      </c>
      <c r="AA394" s="70" t="n">
        <f aca="false">AA392-AA393</f>
        <v>10465.2647997356</v>
      </c>
      <c r="AB394" s="70" t="n">
        <f aca="false">AB392-AB393</f>
        <v>8399.7520103141</v>
      </c>
    </row>
    <row r="395" customFormat="false" ht="15" hidden="false" customHeight="false" outlineLevel="0" collapsed="false">
      <c r="A395" s="28" t="s">
        <v>707</v>
      </c>
      <c r="B395" s="58" t="s">
        <v>708</v>
      </c>
      <c r="C395" s="66" t="n">
        <f aca="false">SUM(E395:P395)</f>
        <v>1427.60897583429</v>
      </c>
      <c r="D395" s="66" t="n">
        <f aca="false">SUM(Q395:AB395)</f>
        <v>1440</v>
      </c>
      <c r="E395" s="67" t="n">
        <f aca="false">TM_Media!E27</f>
        <v>115.9</v>
      </c>
      <c r="F395" s="67" t="n">
        <f aca="false">TM_Media!F27</f>
        <v>109.7</v>
      </c>
      <c r="G395" s="67" t="n">
        <f aca="false">TM_Media!G27</f>
        <v>133.7</v>
      </c>
      <c r="H395" s="67" t="n">
        <f aca="false">TM_Media!H27</f>
        <v>145</v>
      </c>
      <c r="I395" s="67" t="n">
        <f aca="false">TM_Media!I27</f>
        <v>113.4</v>
      </c>
      <c r="J395" s="67" t="n">
        <f aca="false">TM_Media!J27</f>
        <v>121.3</v>
      </c>
      <c r="K395" s="67" t="n">
        <f aca="false">TM_Media!K27</f>
        <v>95.8</v>
      </c>
      <c r="L395" s="67" t="n">
        <f aca="false">TM_Media!L27</f>
        <v>99</v>
      </c>
      <c r="M395" s="67" t="n">
        <f aca="false">TM_Media!M27</f>
        <v>130.909090909091</v>
      </c>
      <c r="N395" s="67" t="n">
        <f aca="false">TM_Media!N27</f>
        <v>135.880322209436</v>
      </c>
      <c r="O395" s="67" t="n">
        <f aca="false">TM_Media!O27</f>
        <v>125.937859608746</v>
      </c>
      <c r="P395" s="67" t="n">
        <f aca="false">TM_Media!P27</f>
        <v>101.08170310702</v>
      </c>
      <c r="Q395" s="67" t="n">
        <f aca="false">TM_Media!Q27</f>
        <v>125.937859608746</v>
      </c>
      <c r="R395" s="67" t="n">
        <f aca="false">TM_Media!R27</f>
        <v>120.9666283084</v>
      </c>
      <c r="S395" s="67" t="n">
        <f aca="false">TM_Media!S27</f>
        <v>130.909090909091</v>
      </c>
      <c r="T395" s="67" t="n">
        <f aca="false">TM_Media!T27</f>
        <v>124.280782508631</v>
      </c>
      <c r="U395" s="67" t="n">
        <f aca="false">TM_Media!U27</f>
        <v>124.280782508631</v>
      </c>
      <c r="V395" s="67" t="n">
        <f aca="false">TM_Media!V27</f>
        <v>114.33831990794</v>
      </c>
      <c r="W395" s="67" t="n">
        <f aca="false">TM_Media!W27</f>
        <v>92.7963176064442</v>
      </c>
      <c r="X395" s="67" t="n">
        <f aca="false">TM_Media!X27</f>
        <v>112.681242807825</v>
      </c>
      <c r="Y395" s="67" t="n">
        <f aca="false">TM_Media!Y27</f>
        <v>130.909090909091</v>
      </c>
      <c r="Z395" s="67" t="n">
        <f aca="false">TM_Media!Z27</f>
        <v>135.880322209436</v>
      </c>
      <c r="AA395" s="67" t="n">
        <f aca="false">TM_Media!AA27</f>
        <v>125.937859608746</v>
      </c>
      <c r="AB395" s="67" t="n">
        <f aca="false">TM_Media!AB27</f>
        <v>101.08170310702</v>
      </c>
    </row>
    <row r="396" customFormat="false" ht="15" hidden="false" customHeight="false" outlineLevel="0" collapsed="false">
      <c r="A396" s="28" t="s">
        <v>709</v>
      </c>
      <c r="B396" s="58" t="s">
        <v>710</v>
      </c>
      <c r="C396" s="59" t="n">
        <f aca="false">SUM(E396:P396)</f>
        <v>78603.7230767161</v>
      </c>
      <c r="D396" s="59" t="n">
        <f aca="false">SUM(Q396:AB396)</f>
        <v>82853.8377721519</v>
      </c>
      <c r="E396" s="60" t="n">
        <f aca="false">TM_Media!E27*Utilisation!E92</f>
        <v>6381.41932336018</v>
      </c>
      <c r="F396" s="60" t="n">
        <f aca="false">TM_Media!F27*Utilisation!F92</f>
        <v>6040.04917836594</v>
      </c>
      <c r="G396" s="60" t="n">
        <f aca="false">TM_Media!G27*Utilisation!G92</f>
        <v>7361.4819976985</v>
      </c>
      <c r="H396" s="60" t="n">
        <f aca="false">TM_Media!H27*Utilisation!H92</f>
        <v>7983.65661680092</v>
      </c>
      <c r="I396" s="60" t="n">
        <f aca="false">TM_Media!I27*Utilisation!I92</f>
        <v>6243.77007134638</v>
      </c>
      <c r="J396" s="60" t="n">
        <f aca="false">TM_Media!J27*Utilisation!J92</f>
        <v>6678.74170771001</v>
      </c>
      <c r="K396" s="60" t="n">
        <f aca="false">TM_Media!K27*Utilisation!K92</f>
        <v>5274.71933716916</v>
      </c>
      <c r="L396" s="60" t="n">
        <f aca="false">TM_Media!L27*Utilisation!L92</f>
        <v>5450.91037974684</v>
      </c>
      <c r="M396" s="60" t="n">
        <f aca="false">TM_Media!M27*Utilisation!M92</f>
        <v>7207.81537817763</v>
      </c>
      <c r="N396" s="60" t="n">
        <f aca="false">TM_Media!N27*Utilisation!N92</f>
        <v>7481.5298862097</v>
      </c>
      <c r="O396" s="60" t="n">
        <f aca="false">TM_Media!O27*Utilisation!O92</f>
        <v>6934.10087014557</v>
      </c>
      <c r="P396" s="60" t="n">
        <f aca="false">TM_Media!P27*Utilisation!P92</f>
        <v>5565.52832998526</v>
      </c>
      <c r="Q396" s="60" t="n">
        <f aca="false">TM_Media!Q27*Utilisation!Q92</f>
        <v>7246.13540930212</v>
      </c>
      <c r="R396" s="60" t="n">
        <f aca="false">TM_Media!R27*Utilisation!R92</f>
        <v>6960.10374840862</v>
      </c>
      <c r="S396" s="60" t="n">
        <f aca="false">TM_Media!S27*Utilisation!S92</f>
        <v>7532.16707019563</v>
      </c>
      <c r="T396" s="60" t="n">
        <f aca="false">TM_Media!T27*Utilisation!T92</f>
        <v>7150.79152233762</v>
      </c>
      <c r="U396" s="60" t="n">
        <f aca="false">TM_Media!U27*Utilisation!U92</f>
        <v>7150.79152233762</v>
      </c>
      <c r="V396" s="60" t="n">
        <f aca="false">TM_Media!V27*Utilisation!V92</f>
        <v>6578.72820055061</v>
      </c>
      <c r="W396" s="60" t="n">
        <f aca="false">TM_Media!W27*Utilisation!W92</f>
        <v>5339.25767001209</v>
      </c>
      <c r="X396" s="60" t="n">
        <f aca="false">TM_Media!X27*Utilisation!X92</f>
        <v>6483.38431358611</v>
      </c>
      <c r="Y396" s="60" t="n">
        <f aca="false">TM_Media!Y27*Utilisation!Y92</f>
        <v>7532.16707019563</v>
      </c>
      <c r="Z396" s="60" t="n">
        <f aca="false">TM_Media!Z27*Utilisation!Z92</f>
        <v>7818.19873108913</v>
      </c>
      <c r="AA396" s="60" t="n">
        <f aca="false">TM_Media!AA27*Utilisation!AA92</f>
        <v>7246.13540930212</v>
      </c>
      <c r="AB396" s="60" t="n">
        <f aca="false">TM_Media!AB27*Utilisation!AB92</f>
        <v>5815.9771048346</v>
      </c>
    </row>
    <row r="397" customFormat="false" ht="15" hidden="false" customHeight="false" outlineLevel="0" collapsed="false">
      <c r="A397" s="28" t="s">
        <v>711</v>
      </c>
      <c r="B397" s="58" t="s">
        <v>53</v>
      </c>
      <c r="C397" s="59" t="n">
        <f aca="false">SUM(E397:P397)</f>
        <v>0</v>
      </c>
      <c r="D397" s="59" t="n">
        <f aca="false">SUM(Q397:AB397)</f>
        <v>0</v>
      </c>
      <c r="E397" s="71" t="n">
        <f aca="false">0</f>
        <v>0</v>
      </c>
      <c r="F397" s="71" t="n">
        <f aca="false">0</f>
        <v>0</v>
      </c>
      <c r="G397" s="71" t="n">
        <f aca="false">0</f>
        <v>0</v>
      </c>
      <c r="H397" s="71" t="n">
        <f aca="false">0</f>
        <v>0</v>
      </c>
      <c r="I397" s="71" t="n">
        <f aca="false">0</f>
        <v>0</v>
      </c>
      <c r="J397" s="71" t="n">
        <f aca="false">0</f>
        <v>0</v>
      </c>
      <c r="K397" s="71" t="n">
        <f aca="false">0</f>
        <v>0</v>
      </c>
      <c r="L397" s="71" t="n">
        <f aca="false">0</f>
        <v>0</v>
      </c>
      <c r="M397" s="71" t="n">
        <f aca="false">0</f>
        <v>0</v>
      </c>
      <c r="N397" s="71" t="n">
        <f aca="false">0</f>
        <v>0</v>
      </c>
      <c r="O397" s="71" t="n">
        <f aca="false">0</f>
        <v>0</v>
      </c>
      <c r="P397" s="71" t="n">
        <f aca="false">0</f>
        <v>0</v>
      </c>
      <c r="Q397" s="71" t="n">
        <f aca="false">0</f>
        <v>0</v>
      </c>
      <c r="R397" s="71" t="n">
        <f aca="false">0</f>
        <v>0</v>
      </c>
      <c r="S397" s="71" t="n">
        <f aca="false">0</f>
        <v>0</v>
      </c>
      <c r="T397" s="71" t="n">
        <f aca="false">0</f>
        <v>0</v>
      </c>
      <c r="U397" s="71" t="n">
        <f aca="false">0</f>
        <v>0</v>
      </c>
      <c r="V397" s="71" t="n">
        <f aca="false">0</f>
        <v>0</v>
      </c>
      <c r="W397" s="71" t="n">
        <f aca="false">0</f>
        <v>0</v>
      </c>
      <c r="X397" s="71" t="n">
        <f aca="false">0</f>
        <v>0</v>
      </c>
      <c r="Y397" s="71" t="n">
        <f aca="false">0</f>
        <v>0</v>
      </c>
      <c r="Z397" s="71" t="n">
        <f aca="false">0</f>
        <v>0</v>
      </c>
      <c r="AA397" s="71" t="n">
        <f aca="false">0</f>
        <v>0</v>
      </c>
      <c r="AB397" s="71" t="n">
        <f aca="false">0</f>
        <v>0</v>
      </c>
    </row>
    <row r="398" customFormat="false" ht="15" hidden="false" customHeight="false" outlineLevel="0" collapsed="false">
      <c r="A398" s="28" t="s">
        <v>712</v>
      </c>
      <c r="B398" s="58" t="s">
        <v>713</v>
      </c>
      <c r="C398" s="59" t="n">
        <f aca="false">SUM(E398:P398)</f>
        <v>113854.225839288</v>
      </c>
      <c r="D398" s="59" t="n">
        <f aca="false">SUM(Q398:AB398)</f>
        <v>119338.973548807</v>
      </c>
      <c r="E398" s="60" t="n">
        <f aca="false">TM_Media!E31+E389+E397+E390</f>
        <v>7861.33</v>
      </c>
      <c r="F398" s="60" t="n">
        <f aca="false">TM_Media!F31+F389+F397+F390</f>
        <v>9664.16</v>
      </c>
      <c r="G398" s="60" t="n">
        <f aca="false">TM_Media!G31+G389+G397+G390</f>
        <v>8800.24</v>
      </c>
      <c r="H398" s="60" t="n">
        <f aca="false">TM_Media!H31+H389+H397+H390</f>
        <v>10139.03</v>
      </c>
      <c r="I398" s="60" t="n">
        <f aca="false">TM_Media!I31+I389+I397+I390</f>
        <v>11354.68</v>
      </c>
      <c r="J398" s="60" t="n">
        <f aca="false">TM_Media!J31+J389+J397+J390</f>
        <v>9303.4</v>
      </c>
      <c r="K398" s="60" t="n">
        <f aca="false">TM_Media!K31+K389+K397+K390</f>
        <v>9936.04</v>
      </c>
      <c r="L398" s="60" t="n">
        <f aca="false">TM_Media!L31+L389+L397+L390</f>
        <v>7682.8</v>
      </c>
      <c r="M398" s="60" t="n">
        <f aca="false">TM_Media!M31+M389+M397+M390</f>
        <v>7732.64</v>
      </c>
      <c r="N398" s="60" t="n">
        <f aca="false">TM_Media!N31+N389+N397+N390</f>
        <v>10459.9686130961</v>
      </c>
      <c r="O398" s="60" t="n">
        <f aca="false">TM_Media!O31+O389+O397+O390</f>
        <v>10857.1826110617</v>
      </c>
      <c r="P398" s="60" t="n">
        <f aca="false">TM_Media!P31+P389+P397+P390</f>
        <v>10062.7546151304</v>
      </c>
      <c r="Q398" s="60" t="n">
        <f aca="false">TM_Media!Q31+Q389+Q397+Q390</f>
        <v>8076.68462530201</v>
      </c>
      <c r="R398" s="60" t="n">
        <f aca="false">TM_Media!R31+R389+R397+R390</f>
        <v>10465.2647997356</v>
      </c>
      <c r="S398" s="60" t="n">
        <f aca="false">TM_Media!S31+S389+S397+S390</f>
        <v>10052.1622418513</v>
      </c>
      <c r="T398" s="60" t="n">
        <f aca="false">TM_Media!T31+T389+T397+T390</f>
        <v>10878.3673576199</v>
      </c>
      <c r="U398" s="60" t="n">
        <f aca="false">TM_Media!U31+U389+U397+U390</f>
        <v>10327.5639471075</v>
      </c>
      <c r="V398" s="60" t="n">
        <f aca="false">TM_Media!V31+V389+V397+V390</f>
        <v>10327.5639471075</v>
      </c>
      <c r="W398" s="60" t="n">
        <f aca="false">TM_Media!W31+W389+W397+W390</f>
        <v>9501.35883133889</v>
      </c>
      <c r="X398" s="60" t="n">
        <f aca="false">TM_Media!X31+X389+X397+X390</f>
        <v>7711.2477471736</v>
      </c>
      <c r="Y398" s="60" t="n">
        <f aca="false">TM_Media!Y31+Y389+Y397+Y390</f>
        <v>9363.6579787108</v>
      </c>
      <c r="Z398" s="60" t="n">
        <f aca="false">TM_Media!Z31+Z389+Z397+Z390</f>
        <v>10878.3673576199</v>
      </c>
      <c r="AA398" s="60" t="n">
        <f aca="false">TM_Media!AA31+AA389+AA397+AA390</f>
        <v>11291.4699155042</v>
      </c>
      <c r="AB398" s="60" t="n">
        <f aca="false">TM_Media!AB31+AB389+AB397+AB390</f>
        <v>10465.2647997356</v>
      </c>
    </row>
    <row r="399" customFormat="false" ht="15" hidden="false" customHeight="false" outlineLevel="0" collapsed="false">
      <c r="A399" s="28" t="s">
        <v>714</v>
      </c>
      <c r="B399" s="58" t="s">
        <v>715</v>
      </c>
      <c r="C399" s="59" t="n">
        <f aca="false">SUM(E399:P399)</f>
        <v>27325.0142014292</v>
      </c>
      <c r="D399" s="59" t="n">
        <f aca="false">SUM(Q399:AB399)</f>
        <v>28641.3536517136</v>
      </c>
      <c r="E399" s="60" t="n">
        <f aca="false">E398*Client_Register!$F$24</f>
        <v>1886.7192</v>
      </c>
      <c r="F399" s="60" t="n">
        <f aca="false">F398*Client_Register!$F$24</f>
        <v>2319.3984</v>
      </c>
      <c r="G399" s="60" t="n">
        <f aca="false">G398*Client_Register!$F$24</f>
        <v>2112.0576</v>
      </c>
      <c r="H399" s="60" t="n">
        <f aca="false">H398*Client_Register!$F$24</f>
        <v>2433.3672</v>
      </c>
      <c r="I399" s="60" t="n">
        <f aca="false">I398*Client_Register!$F$24</f>
        <v>2725.1232</v>
      </c>
      <c r="J399" s="60" t="n">
        <f aca="false">J398*Client_Register!$F$24</f>
        <v>2232.816</v>
      </c>
      <c r="K399" s="60" t="n">
        <f aca="false">K398*Client_Register!$F$24</f>
        <v>2384.6496</v>
      </c>
      <c r="L399" s="60" t="n">
        <f aca="false">L398*Client_Register!$F$24</f>
        <v>1843.872</v>
      </c>
      <c r="M399" s="60" t="n">
        <f aca="false">M398*Client_Register!$F$24</f>
        <v>1855.8336</v>
      </c>
      <c r="N399" s="60" t="n">
        <f aca="false">N398*Client_Register!$F$24</f>
        <v>2510.39246714305</v>
      </c>
      <c r="O399" s="60" t="n">
        <f aca="false">O398*Client_Register!$F$24</f>
        <v>2605.72382665481</v>
      </c>
      <c r="P399" s="60" t="n">
        <f aca="false">P398*Client_Register!$F$24</f>
        <v>2415.06110763129</v>
      </c>
      <c r="Q399" s="60" t="n">
        <f aca="false">Q398*Client_Register!$F$24</f>
        <v>1938.40431007248</v>
      </c>
      <c r="R399" s="60" t="n">
        <f aca="false">R398*Client_Register!$F$24</f>
        <v>2511.66355193654</v>
      </c>
      <c r="S399" s="60" t="n">
        <f aca="false">S398*Client_Register!$F$24</f>
        <v>2412.51893804431</v>
      </c>
      <c r="T399" s="60" t="n">
        <f aca="false">T398*Client_Register!$F$24</f>
        <v>2610.80816582877</v>
      </c>
      <c r="U399" s="60" t="n">
        <f aca="false">U398*Client_Register!$F$24</f>
        <v>2478.6153473058</v>
      </c>
      <c r="V399" s="60" t="n">
        <f aca="false">V398*Client_Register!$F$24</f>
        <v>2478.6153473058</v>
      </c>
      <c r="W399" s="60" t="n">
        <f aca="false">W398*Client_Register!$F$24</f>
        <v>2280.32611952133</v>
      </c>
      <c r="X399" s="60" t="n">
        <f aca="false">X398*Client_Register!$F$24</f>
        <v>1850.69945932166</v>
      </c>
      <c r="Y399" s="60" t="n">
        <f aca="false">Y398*Client_Register!$F$24</f>
        <v>2247.27791489059</v>
      </c>
      <c r="Z399" s="60" t="n">
        <f aca="false">Z398*Client_Register!$F$24</f>
        <v>2610.80816582877</v>
      </c>
      <c r="AA399" s="60" t="n">
        <f aca="false">AA398*Client_Register!$F$24</f>
        <v>2709.95277972101</v>
      </c>
      <c r="AB399" s="60" t="n">
        <f aca="false">AB398*Client_Register!$F$24</f>
        <v>2511.66355193654</v>
      </c>
    </row>
    <row r="400" customFormat="false" ht="15" hidden="false" customHeight="false" outlineLevel="0" collapsed="false">
      <c r="A400" s="68" t="s">
        <v>716</v>
      </c>
      <c r="B400" s="69"/>
      <c r="C400" s="70" t="n">
        <f aca="false">SUM(E400:P400)</f>
        <v>141179.240040717</v>
      </c>
      <c r="D400" s="70" t="n">
        <f aca="false">SUM(Q400:AB400)</f>
        <v>147980.32720052</v>
      </c>
      <c r="E400" s="70" t="n">
        <f aca="false">E398+E399</f>
        <v>9748.0492</v>
      </c>
      <c r="F400" s="70" t="n">
        <f aca="false">F398+F399</f>
        <v>11983.5584</v>
      </c>
      <c r="G400" s="70" t="n">
        <f aca="false">G398+G399</f>
        <v>10912.2976</v>
      </c>
      <c r="H400" s="70" t="n">
        <f aca="false">H398+H399</f>
        <v>12572.3972</v>
      </c>
      <c r="I400" s="70" t="n">
        <f aca="false">I398+I399</f>
        <v>14079.8032</v>
      </c>
      <c r="J400" s="70" t="n">
        <f aca="false">J398+J399</f>
        <v>11536.216</v>
      </c>
      <c r="K400" s="70" t="n">
        <f aca="false">K398+K399</f>
        <v>12320.6896</v>
      </c>
      <c r="L400" s="70" t="n">
        <f aca="false">L398+L399</f>
        <v>9526.672</v>
      </c>
      <c r="M400" s="70" t="n">
        <f aca="false">M398+M399</f>
        <v>9588.4736</v>
      </c>
      <c r="N400" s="70" t="n">
        <f aca="false">N398+N399</f>
        <v>12970.3610802391</v>
      </c>
      <c r="O400" s="70" t="n">
        <f aca="false">O398+O399</f>
        <v>13462.9064377165</v>
      </c>
      <c r="P400" s="70" t="n">
        <f aca="false">P398+P399</f>
        <v>12477.8157227617</v>
      </c>
      <c r="Q400" s="70" t="n">
        <f aca="false">Q398+Q399</f>
        <v>10015.0889353745</v>
      </c>
      <c r="R400" s="70" t="n">
        <f aca="false">R398+R399</f>
        <v>12976.9283516721</v>
      </c>
      <c r="S400" s="70" t="n">
        <f aca="false">S398+S399</f>
        <v>12464.6811798956</v>
      </c>
      <c r="T400" s="70" t="n">
        <f aca="false">T398+T399</f>
        <v>13489.1755234487</v>
      </c>
      <c r="U400" s="70" t="n">
        <f aca="false">U398+U399</f>
        <v>12806.1792944133</v>
      </c>
      <c r="V400" s="70" t="n">
        <f aca="false">V398+V399</f>
        <v>12806.1792944133</v>
      </c>
      <c r="W400" s="70" t="n">
        <f aca="false">W398+W399</f>
        <v>11781.6849508602</v>
      </c>
      <c r="X400" s="70" t="n">
        <f aca="false">X398+X399</f>
        <v>9561.94720649526</v>
      </c>
      <c r="Y400" s="70" t="n">
        <f aca="false">Y398+Y399</f>
        <v>11610.9358936014</v>
      </c>
      <c r="Z400" s="70" t="n">
        <f aca="false">Z398+Z399</f>
        <v>13489.1755234487</v>
      </c>
      <c r="AA400" s="70" t="n">
        <f aca="false">AA398+AA399</f>
        <v>14001.4226952252</v>
      </c>
      <c r="AB400" s="70" t="n">
        <f aca="false">AB398+AB399</f>
        <v>12976.9283516721</v>
      </c>
    </row>
    <row r="401" customFormat="false" ht="15" hidden="false" customHeight="false" outlineLevel="0" collapsed="false">
      <c r="A401" s="28" t="s">
        <v>717</v>
      </c>
      <c r="B401" s="58" t="s">
        <v>718</v>
      </c>
      <c r="C401" s="59" t="n">
        <f aca="false">SUM(E401:P401)</f>
        <v>140416.756225543</v>
      </c>
      <c r="D401" s="59" t="n">
        <f aca="false">SUM(Q401:AB401)</f>
        <v>147647.585447913</v>
      </c>
      <c r="E401" s="60" t="n">
        <f aca="false">IF(E$5="A",Inputs_Actuals!E130,Client_Register!$T$24+E400-(E400*MIN(1,Client_Register!$J$24/30)+0*MIN(1,MAX(0,(Client_Register!$J$24-30)/30))+0*MIN(1,MAX(0,(Client_Register!$J$24-60)/30))))</f>
        <v>10312.08</v>
      </c>
      <c r="F401" s="60" t="n">
        <f aca="false">IF(F$5="A",Inputs_Actuals!F130,E402+F400-(F400*MIN(1,Client_Register!$J$24/30)+E400*MIN(1,MAX(0,(Client_Register!$J$24-30)/30))+0*MIN(1,MAX(0,(Client_Register!$J$24-60)/30))))</f>
        <v>10085.46</v>
      </c>
      <c r="G401" s="60" t="n">
        <f aca="false">IF(G$5="A",Inputs_Actuals!G130,F402+G400-(G400*MIN(1,Client_Register!$J$24/30)+F400*MIN(1,MAX(0,(Client_Register!$J$24-30)/30))+E400*MIN(1,MAX(0,(Client_Register!$J$24-60)/30))))</f>
        <v>13003.59</v>
      </c>
      <c r="H401" s="60" t="n">
        <f aca="false">IF(H$5="A",Inputs_Actuals!H130,G402+H400-(H400*MIN(1,Client_Register!$J$24/30)+G400*MIN(1,MAX(0,(Client_Register!$J$24-30)/30))+F400*MIN(1,MAX(0,(Client_Register!$J$24-60)/30))))</f>
        <v>10502.26</v>
      </c>
      <c r="I401" s="60" t="n">
        <f aca="false">IF(I$5="A",Inputs_Actuals!I130,H402+I400-(I400*MIN(1,Client_Register!$J$24/30)+H400*MIN(1,MAX(0,(Client_Register!$J$24-30)/30))+G400*MIN(1,MAX(0,(Client_Register!$J$24-60)/30))))</f>
        <v>14112.37</v>
      </c>
      <c r="J401" s="60" t="n">
        <f aca="false">IF(J$5="A",Inputs_Actuals!J130,I402+J400-(J400*MIN(1,Client_Register!$J$24/30)+I400*MIN(1,MAX(0,(Client_Register!$J$24-30)/30))+H400*MIN(1,MAX(0,(Client_Register!$J$24-60)/30))))</f>
        <v>13182.28</v>
      </c>
      <c r="K401" s="60" t="n">
        <f aca="false">IF(K$5="A",Inputs_Actuals!K130,J402+K400-(K400*MIN(1,Client_Register!$J$24/30)+J400*MIN(1,MAX(0,(Client_Register!$J$24-30)/30))+I400*MIN(1,MAX(0,(Client_Register!$J$24-60)/30))))</f>
        <v>11892.02</v>
      </c>
      <c r="L401" s="60" t="n">
        <f aca="false">IF(L$5="A",Inputs_Actuals!L130,K402+L400-(L400*MIN(1,Client_Register!$J$24/30)+K400*MIN(1,MAX(0,(Client_Register!$J$24-30)/30))+J400*MIN(1,MAX(0,(Client_Register!$J$24-60)/30))))</f>
        <v>10172.21</v>
      </c>
      <c r="M401" s="60" t="n">
        <f aca="false">IF(M$5="A",Inputs_Actuals!M130,L402+M400-(M400*MIN(1,Client_Register!$J$24/30)+L400*MIN(1,MAX(0,(Client_Register!$J$24-30)/30))+K400*MIN(1,MAX(0,(Client_Register!$J$24-60)/30))))</f>
        <v>10169.6310666667</v>
      </c>
      <c r="N401" s="60" t="n">
        <f aca="false">IF(N$5="A",Inputs_Actuals!N130,M402+N400-(N400*MIN(1,Client_Register!$J$24/30)+M400*MIN(1,MAX(0,(Client_Register!$J$24-30)/30))+L400*MIN(1,MAX(0,(Client_Register!$J$24-60)/30))))</f>
        <v>10715.7694267464</v>
      </c>
      <c r="O401" s="60" t="n">
        <f aca="false">IF(O$5="A",Inputs_Actuals!O130,N402+O400-(O400*MIN(1,Client_Register!$J$24/30)+N400*MIN(1,MAX(0,(Client_Register!$J$24-30)/30))+M400*MIN(1,MAX(0,(Client_Register!$J$24-60)/30))))</f>
        <v>13134.5428660649</v>
      </c>
      <c r="P401" s="60" t="n">
        <f aca="false">IF(P$5="A",Inputs_Actuals!P130,O402+P400-(P400*MIN(1,Client_Register!$J$24/30)+O400*MIN(1,MAX(0,(Client_Register!$J$24-30)/30))+N400*MIN(1,MAX(0,(Client_Register!$J$24-60)/30))))</f>
        <v>13134.5428660649</v>
      </c>
      <c r="Q401" s="60" t="n">
        <f aca="false">IF(Q$5="A",Inputs_Actuals!Q130,P402+Q400-(Q400*MIN(1,Client_Register!$J$24/30)+P400*MIN(1,MAX(0,(Client_Register!$J$24-30)/30))+O400*MIN(1,MAX(0,(Client_Register!$J$24-60)/30))))</f>
        <v>11656.9067936326</v>
      </c>
      <c r="R401" s="60" t="n">
        <f aca="false">IF(R$5="A",Inputs_Actuals!R130,Q402+R400-(R400*MIN(1,Client_Register!$J$24/30)+Q400*MIN(1,MAX(0,(Client_Register!$J$24-30)/30))+P400*MIN(1,MAX(0,(Client_Register!$J$24-60)/30))))</f>
        <v>11002.368740807</v>
      </c>
      <c r="S401" s="60" t="n">
        <f aca="false">IF(S$5="A",Inputs_Actuals!S130,R402+S400-(S400*MIN(1,Client_Register!$J$24/30)+R400*MIN(1,MAX(0,(Client_Register!$J$24-30)/30))+Q400*MIN(1,MAX(0,(Client_Register!$J$24-60)/30))))</f>
        <v>12806.1792944133</v>
      </c>
      <c r="T401" s="60" t="n">
        <f aca="false">IF(T$5="A",Inputs_Actuals!T130,S402+T400-(T400*MIN(1,Client_Register!$J$24/30)+S400*MIN(1,MAX(0,(Client_Register!$J$24-30)/30))+R400*MIN(1,MAX(0,(Client_Register!$J$24-60)/30))))</f>
        <v>12806.1792944133</v>
      </c>
      <c r="U401" s="60" t="n">
        <f aca="false">IF(U$5="A",Inputs_Actuals!U130,T402+U400-(U400*MIN(1,Client_Register!$J$24/30)+T400*MIN(1,MAX(0,(Client_Register!$J$24-30)/30))+S400*MIN(1,MAX(0,(Client_Register!$J$24-60)/30))))</f>
        <v>13261.5101137702</v>
      </c>
      <c r="V401" s="60" t="n">
        <f aca="false">IF(V$5="A",Inputs_Actuals!V130,U402+V400-(V400*MIN(1,Client_Register!$J$24/30)+U400*MIN(1,MAX(0,(Client_Register!$J$24-30)/30))+T400*MIN(1,MAX(0,(Client_Register!$J$24-60)/30))))</f>
        <v>12806.1792944133</v>
      </c>
      <c r="W401" s="60" t="n">
        <f aca="false">IF(W$5="A",Inputs_Actuals!W130,V402+W400-(W400*MIN(1,Client_Register!$J$24/30)+V400*MIN(1,MAX(0,(Client_Register!$J$24-30)/30))+U400*MIN(1,MAX(0,(Client_Register!$J$24-60)/30))))</f>
        <v>12464.6811798956</v>
      </c>
      <c r="X401" s="60" t="n">
        <f aca="false">IF(X$5="A",Inputs_Actuals!X130,W402+X400-(X400*MIN(1,Client_Register!$J$24/30)+W400*MIN(1,MAX(0,(Client_Register!$J$24-30)/30))+V400*MIN(1,MAX(0,(Client_Register!$J$24-60)/30))))</f>
        <v>11041.7723694052</v>
      </c>
      <c r="Y401" s="60" t="n">
        <f aca="false">IF(Y$5="A",Inputs_Actuals!Y130,X402+Y400-(Y400*MIN(1,Client_Register!$J$24/30)+X400*MIN(1,MAX(0,(Client_Register!$J$24-30)/30))+W400*MIN(1,MAX(0,(Client_Register!$J$24-60)/30))))</f>
        <v>10244.9434355306</v>
      </c>
      <c r="Z401" s="60" t="n">
        <f aca="false">IF(Z$5="A",Inputs_Actuals!Z130,Y402+Z400-(Z400*MIN(1,Client_Register!$J$24/30)+Y400*MIN(1,MAX(0,(Client_Register!$J$24-30)/30))+X400*MIN(1,MAX(0,(Client_Register!$J$24-60)/30))))</f>
        <v>12237.0157702171</v>
      </c>
      <c r="AA401" s="60" t="n">
        <f aca="false">IF(AA$5="A",Inputs_Actuals!AA130,Z402+AA400-(AA400*MIN(1,Client_Register!$J$24/30)+Z400*MIN(1,MAX(0,(Client_Register!$J$24-30)/30))+Y400*MIN(1,MAX(0,(Client_Register!$J$24-60)/30))))</f>
        <v>13659.9245807075</v>
      </c>
      <c r="AB401" s="60" t="n">
        <f aca="false">IF(AB$5="A",Inputs_Actuals!AB130,AA402+AB400-(AB400*MIN(1,Client_Register!$J$24/30)+AA400*MIN(1,MAX(0,(Client_Register!$J$24-30)/30))+Z400*MIN(1,MAX(0,(Client_Register!$J$24-60)/30))))</f>
        <v>13659.9245807075</v>
      </c>
    </row>
    <row r="402" customFormat="false" ht="15" hidden="false" customHeight="false" outlineLevel="0" collapsed="false">
      <c r="A402" s="68" t="s">
        <v>719</v>
      </c>
      <c r="B402" s="69" t="s">
        <v>720</v>
      </c>
      <c r="C402" s="70" t="n">
        <f aca="false">P402</f>
        <v>8318.54381517445</v>
      </c>
      <c r="D402" s="70" t="n">
        <f aca="false">AB402</f>
        <v>8651.28556778142</v>
      </c>
      <c r="E402" s="74" t="n">
        <f aca="false">Client_Register!$T$24+E400-E401</f>
        <v>6992.0292</v>
      </c>
      <c r="F402" s="70" t="n">
        <f aca="false">E402+F400-F401</f>
        <v>8890.1276</v>
      </c>
      <c r="G402" s="70" t="n">
        <f aca="false">F402+G400-G401</f>
        <v>6798.8352</v>
      </c>
      <c r="H402" s="70" t="n">
        <f aca="false">G402+H400-H401</f>
        <v>8868.9724</v>
      </c>
      <c r="I402" s="70" t="n">
        <f aca="false">H402+I400-I401</f>
        <v>8836.4056</v>
      </c>
      <c r="J402" s="70" t="n">
        <f aca="false">I402+J400-J401</f>
        <v>7190.3416</v>
      </c>
      <c r="K402" s="70" t="n">
        <f aca="false">J402+K400-K401</f>
        <v>7619.0112</v>
      </c>
      <c r="L402" s="70" t="n">
        <f aca="false">K402+L400-L401</f>
        <v>6973.4732</v>
      </c>
      <c r="M402" s="70" t="n">
        <f aca="false">L402+M400-M401</f>
        <v>6392.31573333333</v>
      </c>
      <c r="N402" s="70" t="n">
        <f aca="false">M402+N400-N401</f>
        <v>8646.90738682607</v>
      </c>
      <c r="O402" s="70" t="n">
        <f aca="false">N402+O400-O401</f>
        <v>8975.27095847769</v>
      </c>
      <c r="P402" s="70" t="n">
        <f aca="false">O402+P400-P401</f>
        <v>8318.54381517445</v>
      </c>
      <c r="Q402" s="70" t="n">
        <f aca="false">P402+Q400-Q401</f>
        <v>6676.72595691633</v>
      </c>
      <c r="R402" s="70" t="n">
        <f aca="false">Q402+R400-R401</f>
        <v>8651.28556778142</v>
      </c>
      <c r="S402" s="70" t="n">
        <f aca="false">R402+S400-S401</f>
        <v>8309.78745326374</v>
      </c>
      <c r="T402" s="70" t="n">
        <f aca="false">S402+T400-T401</f>
        <v>8992.78368229911</v>
      </c>
      <c r="U402" s="70" t="n">
        <f aca="false">T402+U400-U401</f>
        <v>8537.4528629422</v>
      </c>
      <c r="V402" s="70" t="n">
        <f aca="false">U402+V400-V401</f>
        <v>8537.4528629422</v>
      </c>
      <c r="W402" s="70" t="n">
        <f aca="false">V402+W400-W401</f>
        <v>7854.45663390682</v>
      </c>
      <c r="X402" s="70" t="n">
        <f aca="false">W402+X400-X401</f>
        <v>6374.63147099684</v>
      </c>
      <c r="Y402" s="70" t="n">
        <f aca="false">X402+Y400-Y401</f>
        <v>7740.62392906759</v>
      </c>
      <c r="Z402" s="70" t="n">
        <f aca="false">Y402+Z400-Z401</f>
        <v>8992.78368229911</v>
      </c>
      <c r="AA402" s="70" t="n">
        <f aca="false">Z402+AA400-AA401</f>
        <v>9334.2817968168</v>
      </c>
      <c r="AB402" s="70" t="n">
        <f aca="false">AA402+AB400-AB401</f>
        <v>8651.28556778142</v>
      </c>
    </row>
    <row r="403" customFormat="false" ht="15" hidden="false" customHeight="false" outlineLevel="0" collapsed="false">
      <c r="A403" s="28" t="s">
        <v>721</v>
      </c>
      <c r="B403" s="58" t="s">
        <v>722</v>
      </c>
      <c r="C403" s="59" t="n">
        <f aca="false">P403</f>
        <v>8076.68462530201</v>
      </c>
      <c r="D403" s="59" t="n">
        <f aca="false">AB403</f>
        <v>8399.7520103141</v>
      </c>
      <c r="E403" s="60" t="n">
        <f aca="false">Client_Register!$U$24+E391-(E398-E397)</f>
        <v>9664.16</v>
      </c>
      <c r="F403" s="71" t="n">
        <f aca="false">E403+F391-(F398-F397)</f>
        <v>8800.24</v>
      </c>
      <c r="G403" s="71" t="n">
        <f aca="false">F403+G391-(G398-G397)</f>
        <v>10139.03</v>
      </c>
      <c r="H403" s="71" t="n">
        <f aca="false">G403+H391-(H398-H397)</f>
        <v>11354.68</v>
      </c>
      <c r="I403" s="71" t="n">
        <f aca="false">H403+I391-(I398-I397)</f>
        <v>9303.4</v>
      </c>
      <c r="J403" s="71" t="n">
        <f aca="false">I403+J391-(J398-J397)</f>
        <v>9936.04</v>
      </c>
      <c r="K403" s="71" t="n">
        <f aca="false">J403+K391-(K398-K397)</f>
        <v>7682.8</v>
      </c>
      <c r="L403" s="71" t="n">
        <f aca="false">K403+L391-(L398-L397)</f>
        <v>7732.64</v>
      </c>
      <c r="M403" s="71" t="n">
        <f aca="false">L403+M391-(M398-M397)</f>
        <v>10459.9686130961</v>
      </c>
      <c r="N403" s="71" t="n">
        <f aca="false">M403+N391-(N398-N397)</f>
        <v>10857.1826110617</v>
      </c>
      <c r="O403" s="71" t="n">
        <f aca="false">N403+O391-(O398-O397)</f>
        <v>10062.7546151304</v>
      </c>
      <c r="P403" s="71" t="n">
        <f aca="false">O403+P391-(P398-P397)</f>
        <v>8076.68462530201</v>
      </c>
      <c r="Q403" s="71" t="n">
        <f aca="false">P403+Q391-(Q398-Q397)</f>
        <v>10465.2647997356</v>
      </c>
      <c r="R403" s="71" t="n">
        <f aca="false">Q403+R391-(R398-R397)</f>
        <v>10052.1622418513</v>
      </c>
      <c r="S403" s="71" t="n">
        <f aca="false">R403+S391-(S398-S397)</f>
        <v>10878.3673576199</v>
      </c>
      <c r="T403" s="71" t="n">
        <f aca="false">S403+T391-(T398-T397)</f>
        <v>10327.5639471075</v>
      </c>
      <c r="U403" s="71" t="n">
        <f aca="false">T403+U391-(U398-U397)</f>
        <v>10327.5639471075</v>
      </c>
      <c r="V403" s="71" t="n">
        <f aca="false">U403+V391-(V398-V397)</f>
        <v>9501.35883133889</v>
      </c>
      <c r="W403" s="71" t="n">
        <f aca="false">V403+W391-(W398-W397)</f>
        <v>7711.2477471736</v>
      </c>
      <c r="X403" s="71" t="n">
        <f aca="false">W403+X391-(X398-X397)</f>
        <v>9363.6579787108</v>
      </c>
      <c r="Y403" s="71" t="n">
        <f aca="false">X403+Y391-(Y398-Y397)</f>
        <v>10878.3673576199</v>
      </c>
      <c r="Z403" s="71" t="n">
        <f aca="false">Y403+Z391-(Z398-Z397)</f>
        <v>11291.4699155042</v>
      </c>
      <c r="AA403" s="71" t="n">
        <f aca="false">Z403+AA391-(AA398-AA397)</f>
        <v>10465.2647997356</v>
      </c>
      <c r="AB403" s="71" t="n">
        <f aca="false">AA403+AB391-(AB398-AB397)</f>
        <v>8399.7520103141</v>
      </c>
    </row>
    <row r="404" customFormat="false" ht="15" hidden="false" customHeight="false" outlineLevel="0" collapsed="false">
      <c r="A404" s="28" t="s">
        <v>723</v>
      </c>
      <c r="B404" s="58"/>
      <c r="C404" s="59" t="n">
        <f aca="false">P404</f>
        <v>8318.54381517445</v>
      </c>
      <c r="D404" s="59" t="n">
        <f aca="false">AB404</f>
        <v>8651.28556778142</v>
      </c>
      <c r="E404" s="71" t="n">
        <f aca="false">E402/1</f>
        <v>6992.0292</v>
      </c>
      <c r="F404" s="71" t="n">
        <f aca="false">F402/1</f>
        <v>8890.1276</v>
      </c>
      <c r="G404" s="71" t="n">
        <f aca="false">G402/1</f>
        <v>6798.8352</v>
      </c>
      <c r="H404" s="71" t="n">
        <f aca="false">H402/1</f>
        <v>8868.9724</v>
      </c>
      <c r="I404" s="71" t="n">
        <f aca="false">I402/1</f>
        <v>8836.4056</v>
      </c>
      <c r="J404" s="71" t="n">
        <f aca="false">J402/1</f>
        <v>7190.3416</v>
      </c>
      <c r="K404" s="71" t="n">
        <f aca="false">K402/1</f>
        <v>7619.0112</v>
      </c>
      <c r="L404" s="71" t="n">
        <f aca="false">L402/1</f>
        <v>6973.4732</v>
      </c>
      <c r="M404" s="71" t="n">
        <f aca="false">M402/1</f>
        <v>6392.31573333333</v>
      </c>
      <c r="N404" s="71" t="n">
        <f aca="false">N402/1</f>
        <v>8646.90738682607</v>
      </c>
      <c r="O404" s="71" t="n">
        <f aca="false">O402/1</f>
        <v>8975.27095847769</v>
      </c>
      <c r="P404" s="71" t="n">
        <f aca="false">P402/1</f>
        <v>8318.54381517445</v>
      </c>
      <c r="Q404" s="71" t="n">
        <f aca="false">Q402/1</f>
        <v>6676.72595691633</v>
      </c>
      <c r="R404" s="71" t="n">
        <f aca="false">R402/1</f>
        <v>8651.28556778142</v>
      </c>
      <c r="S404" s="71" t="n">
        <f aca="false">S402/1</f>
        <v>8309.78745326374</v>
      </c>
      <c r="T404" s="71" t="n">
        <f aca="false">T402/1</f>
        <v>8992.78368229911</v>
      </c>
      <c r="U404" s="71" t="n">
        <f aca="false">U402/1</f>
        <v>8537.4528629422</v>
      </c>
      <c r="V404" s="71" t="n">
        <f aca="false">V402/1</f>
        <v>8537.4528629422</v>
      </c>
      <c r="W404" s="71" t="n">
        <f aca="false">W402/1</f>
        <v>7854.45663390682</v>
      </c>
      <c r="X404" s="71" t="n">
        <f aca="false">X402/1</f>
        <v>6374.63147099684</v>
      </c>
      <c r="Y404" s="71" t="n">
        <f aca="false">Y402/1</f>
        <v>7740.62392906759</v>
      </c>
      <c r="Z404" s="71" t="n">
        <f aca="false">Z402/1</f>
        <v>8992.78368229911</v>
      </c>
      <c r="AA404" s="71" t="n">
        <f aca="false">AA402/1</f>
        <v>9334.2817968168</v>
      </c>
      <c r="AB404" s="71" t="n">
        <f aca="false">AB402/1</f>
        <v>8651.28556778142</v>
      </c>
    </row>
    <row r="405" customFormat="false" ht="15" hidden="false" customHeight="false" outlineLevel="0" collapsed="false">
      <c r="A405" s="28" t="s">
        <v>724</v>
      </c>
      <c r="B405" s="58"/>
      <c r="C405" s="66" t="n">
        <f aca="false">P405</f>
        <v>19.4970464135021</v>
      </c>
      <c r="D405" s="66" t="n">
        <f aca="false">AB405</f>
        <v>19.4970464135021</v>
      </c>
      <c r="E405" s="72" t="n">
        <f aca="false">IFERROR(E402/AVERAGE(E400:E400)*30.4,0)</f>
        <v>21.8051512994005</v>
      </c>
      <c r="F405" s="72" t="n">
        <f aca="false">IFERROR(F402/AVERAGE(E400:F400)*30.4,0)</f>
        <v>24.8725160157963</v>
      </c>
      <c r="G405" s="72" t="n">
        <f aca="false">IFERROR(G402/AVERAGE(E400:G400)*30.4,0)</f>
        <v>18.9944728255123</v>
      </c>
      <c r="H405" s="72" t="n">
        <f aca="false">IFERROR(H402/AVERAGE(F400:H400)*30.4,0)</f>
        <v>22.8049088946957</v>
      </c>
      <c r="I405" s="72" t="n">
        <f aca="false">IFERROR(I402/AVERAGE(G400:I400)*30.4,0)</f>
        <v>21.453239990589</v>
      </c>
      <c r="J405" s="72" t="n">
        <f aca="false">IFERROR(J402/AVERAGE(H400:J400)*30.4,0)</f>
        <v>17.1716770617385</v>
      </c>
      <c r="K405" s="72" t="n">
        <f aca="false">IFERROR(K402/AVERAGE(I400:K400)*30.4,0)</f>
        <v>18.3161334606865</v>
      </c>
      <c r="L405" s="72" t="n">
        <f aca="false">IFERROR(L402/AVERAGE(J400:L400)*30.4,0)</f>
        <v>19.0507070111024</v>
      </c>
      <c r="M405" s="72" t="n">
        <f aca="false">IFERROR(M402/AVERAGE(K400:M400)*30.4,0)</f>
        <v>18.5450518865171</v>
      </c>
      <c r="N405" s="72" t="n">
        <f aca="false">IFERROR(N402/AVERAGE(L400:N400)*30.4,0)</f>
        <v>24.5780115470086</v>
      </c>
      <c r="O405" s="72" t="n">
        <f aca="false">IFERROR(O402/AVERAGE(M400:O400)*30.4,0)</f>
        <v>22.7236298415667</v>
      </c>
      <c r="P405" s="72" t="n">
        <f aca="false">IFERROR(P402/AVERAGE(N400:P400)*30.4,0)</f>
        <v>19.4970464135021</v>
      </c>
      <c r="Q405" s="72" t="n">
        <f aca="false">IFERROR(Q402/AVERAGE(O400:Q400)*30.4,0)</f>
        <v>16.9351598173516</v>
      </c>
      <c r="R405" s="72" t="n">
        <f aca="false">IFERROR(R402/AVERAGE(P400:R400)*30.4,0)</f>
        <v>22.2441770042585</v>
      </c>
      <c r="S405" s="72" t="n">
        <f aca="false">IFERROR(S402/AVERAGE(Q400:S400)*30.4,0)</f>
        <v>21.3740322281904</v>
      </c>
      <c r="T405" s="72" t="n">
        <f aca="false">IFERROR(T402/AVERAGE(R400:T400)*30.4,0)</f>
        <v>21.0666666666667</v>
      </c>
      <c r="U405" s="72" t="n">
        <f aca="false">IFERROR(U402/AVERAGE(S400:U400)*30.4,0)</f>
        <v>20.0881057268722</v>
      </c>
      <c r="V405" s="72" t="n">
        <f aca="false">IFERROR(V402/AVERAGE(T400:V400)*30.4,0)</f>
        <v>19.9126637554585</v>
      </c>
      <c r="W405" s="72" t="n">
        <f aca="false">IFERROR(W402/AVERAGE(U400:W400)*30.4,0)</f>
        <v>19.1561643835616</v>
      </c>
      <c r="X405" s="72" t="n">
        <f aca="false">IFERROR(X402/AVERAGE(V400:X400)*30.4,0)</f>
        <v>17.024</v>
      </c>
      <c r="Y405" s="72" t="n">
        <f aca="false">IFERROR(Y402/AVERAGE(W400:Y400)*30.4,0)</f>
        <v>21.4217616580311</v>
      </c>
      <c r="Z405" s="72" t="n">
        <f aca="false">IFERROR(Z402/AVERAGE(X400:Z400)*30.4,0)</f>
        <v>23.6610837438424</v>
      </c>
      <c r="AA405" s="72" t="n">
        <f aca="false">IFERROR(AA402/AVERAGE(Y400:AA400)*30.4,0)</f>
        <v>21.7711790393013</v>
      </c>
      <c r="AB405" s="72" t="n">
        <f aca="false">IFERROR(AB402/AVERAGE(Z400:AB400)*30.4,0)</f>
        <v>19.4970464135021</v>
      </c>
    </row>
    <row r="407" customFormat="false" ht="15" hidden="false" customHeight="false" outlineLevel="0" collapsed="false">
      <c r="A407" s="22" t="s">
        <v>751</v>
      </c>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row>
    <row r="408" customFormat="false" ht="15" hidden="false" customHeight="false" outlineLevel="0" collapsed="false">
      <c r="A408" s="28" t="s">
        <v>331</v>
      </c>
      <c r="B408" s="58" t="s">
        <v>49</v>
      </c>
      <c r="C408" s="59" t="n">
        <f aca="false">SUM(E408:P408)</f>
        <v>0</v>
      </c>
      <c r="D408" s="59" t="n">
        <f aca="false">SUM(Q408:AB408)</f>
        <v>81000</v>
      </c>
      <c r="E408" s="60" t="n">
        <f aca="false">Retainers!E120</f>
        <v>0</v>
      </c>
      <c r="F408" s="60" t="n">
        <f aca="false">Retainers!F120</f>
        <v>0</v>
      </c>
      <c r="G408" s="60" t="n">
        <f aca="false">Retainers!G120</f>
        <v>0</v>
      </c>
      <c r="H408" s="60" t="n">
        <f aca="false">Retainers!H120</f>
        <v>0</v>
      </c>
      <c r="I408" s="60" t="n">
        <f aca="false">Retainers!I120</f>
        <v>0</v>
      </c>
      <c r="J408" s="60" t="n">
        <f aca="false">Retainers!J120</f>
        <v>0</v>
      </c>
      <c r="K408" s="60" t="n">
        <f aca="false">Retainers!K120</f>
        <v>0</v>
      </c>
      <c r="L408" s="60" t="n">
        <f aca="false">Retainers!L120</f>
        <v>0</v>
      </c>
      <c r="M408" s="60" t="n">
        <f aca="false">Retainers!M120</f>
        <v>0</v>
      </c>
      <c r="N408" s="60" t="n">
        <f aca="false">Retainers!N120</f>
        <v>0</v>
      </c>
      <c r="O408" s="60" t="n">
        <f aca="false">Retainers!O120</f>
        <v>0</v>
      </c>
      <c r="P408" s="60" t="n">
        <f aca="false">Retainers!P120</f>
        <v>0</v>
      </c>
      <c r="Q408" s="60" t="n">
        <f aca="false">Retainers!Q120</f>
        <v>6750</v>
      </c>
      <c r="R408" s="60" t="n">
        <f aca="false">Retainers!R120</f>
        <v>6750</v>
      </c>
      <c r="S408" s="60" t="n">
        <f aca="false">Retainers!S120</f>
        <v>6750</v>
      </c>
      <c r="T408" s="60" t="n">
        <f aca="false">Retainers!T120</f>
        <v>6750</v>
      </c>
      <c r="U408" s="60" t="n">
        <f aca="false">Retainers!U120</f>
        <v>6750</v>
      </c>
      <c r="V408" s="60" t="n">
        <f aca="false">Retainers!V120</f>
        <v>6750</v>
      </c>
      <c r="W408" s="60" t="n">
        <f aca="false">Retainers!W120</f>
        <v>6750</v>
      </c>
      <c r="X408" s="60" t="n">
        <f aca="false">Retainers!X120</f>
        <v>6750</v>
      </c>
      <c r="Y408" s="60" t="n">
        <f aca="false">Retainers!Y120</f>
        <v>6750</v>
      </c>
      <c r="Z408" s="60" t="n">
        <f aca="false">Retainers!Z120</f>
        <v>6750</v>
      </c>
      <c r="AA408" s="60" t="n">
        <f aca="false">Retainers!AA120</f>
        <v>6750</v>
      </c>
      <c r="AB408" s="60" t="n">
        <f aca="false">Retainers!AB120</f>
        <v>6750</v>
      </c>
    </row>
    <row r="409" customFormat="false" ht="15" hidden="false" customHeight="false" outlineLevel="0" collapsed="false">
      <c r="A409" s="28" t="s">
        <v>700</v>
      </c>
      <c r="B409" s="58" t="s">
        <v>51</v>
      </c>
      <c r="C409" s="59" t="n">
        <f aca="false">SUM(E409:P409)</f>
        <v>20740.7407407407</v>
      </c>
      <c r="D409" s="59" t="n">
        <f aca="false">SUM(Q409:AB409)</f>
        <v>59259.2592592593</v>
      </c>
      <c r="E409" s="60" t="n">
        <f aca="false">Projects!E200</f>
        <v>0</v>
      </c>
      <c r="F409" s="60" t="n">
        <f aca="false">Projects!F200</f>
        <v>0</v>
      </c>
      <c r="G409" s="60" t="n">
        <f aca="false">Projects!G200</f>
        <v>0</v>
      </c>
      <c r="H409" s="60" t="n">
        <f aca="false">Projects!H200</f>
        <v>0</v>
      </c>
      <c r="I409" s="60" t="n">
        <f aca="false">Projects!I200</f>
        <v>0</v>
      </c>
      <c r="J409" s="60" t="n">
        <f aca="false">Projects!J200</f>
        <v>0</v>
      </c>
      <c r="K409" s="60" t="n">
        <f aca="false">Projects!K200</f>
        <v>0</v>
      </c>
      <c r="L409" s="60" t="n">
        <f aca="false">Projects!L200</f>
        <v>0</v>
      </c>
      <c r="M409" s="60" t="n">
        <f aca="false">Projects!M200</f>
        <v>0</v>
      </c>
      <c r="N409" s="60" t="n">
        <f aca="false">Projects!N200</f>
        <v>0</v>
      </c>
      <c r="O409" s="60" t="n">
        <f aca="false">Projects!O200</f>
        <v>5925.92592592593</v>
      </c>
      <c r="P409" s="60" t="n">
        <f aca="false">Projects!P200</f>
        <v>14814.8148148148</v>
      </c>
      <c r="Q409" s="60" t="n">
        <f aca="false">Projects!Q200</f>
        <v>19259.2592592593</v>
      </c>
      <c r="R409" s="60" t="n">
        <f aca="false">Projects!R200</f>
        <v>19259.2592592593</v>
      </c>
      <c r="S409" s="60" t="n">
        <f aca="false">Projects!S200</f>
        <v>14814.8148148148</v>
      </c>
      <c r="T409" s="60" t="n">
        <f aca="false">Projects!T200</f>
        <v>5925.92592592594</v>
      </c>
      <c r="U409" s="60" t="n">
        <f aca="false">Projects!U200</f>
        <v>0</v>
      </c>
      <c r="V409" s="60" t="n">
        <f aca="false">Projects!V200</f>
        <v>0</v>
      </c>
      <c r="W409" s="60" t="n">
        <f aca="false">Projects!W200</f>
        <v>0</v>
      </c>
      <c r="X409" s="60" t="n">
        <f aca="false">Projects!X200</f>
        <v>0</v>
      </c>
      <c r="Y409" s="60" t="n">
        <f aca="false">Projects!Y200</f>
        <v>0</v>
      </c>
      <c r="Z409" s="60" t="n">
        <f aca="false">Projects!Z200</f>
        <v>0</v>
      </c>
      <c r="AA409" s="60" t="n">
        <f aca="false">Projects!AA200</f>
        <v>0</v>
      </c>
      <c r="AB409" s="60" t="n">
        <f aca="false">Projects!AB200</f>
        <v>0</v>
      </c>
    </row>
    <row r="410" customFormat="false" ht="15" hidden="false" customHeight="false" outlineLevel="0" collapsed="false">
      <c r="A410" s="28" t="s">
        <v>333</v>
      </c>
      <c r="B410" s="58" t="s">
        <v>53</v>
      </c>
      <c r="C410" s="59" t="n">
        <f aca="false">SUM(E410:P410)</f>
        <v>0</v>
      </c>
      <c r="D410" s="59" t="n">
        <f aca="false">SUM(Q410:AB410)</f>
        <v>0</v>
      </c>
      <c r="E410" s="71" t="n">
        <f aca="false">0</f>
        <v>0</v>
      </c>
      <c r="F410" s="71" t="n">
        <f aca="false">0</f>
        <v>0</v>
      </c>
      <c r="G410" s="71" t="n">
        <f aca="false">0</f>
        <v>0</v>
      </c>
      <c r="H410" s="71" t="n">
        <f aca="false">0</f>
        <v>0</v>
      </c>
      <c r="I410" s="71" t="n">
        <f aca="false">0</f>
        <v>0</v>
      </c>
      <c r="J410" s="71" t="n">
        <f aca="false">0</f>
        <v>0</v>
      </c>
      <c r="K410" s="71" t="n">
        <f aca="false">0</f>
        <v>0</v>
      </c>
      <c r="L410" s="71" t="n">
        <f aca="false">0</f>
        <v>0</v>
      </c>
      <c r="M410" s="71" t="n">
        <f aca="false">0</f>
        <v>0</v>
      </c>
      <c r="N410" s="71" t="n">
        <f aca="false">0</f>
        <v>0</v>
      </c>
      <c r="O410" s="71" t="n">
        <f aca="false">0</f>
        <v>0</v>
      </c>
      <c r="P410" s="71" t="n">
        <f aca="false">0</f>
        <v>0</v>
      </c>
      <c r="Q410" s="71" t="n">
        <f aca="false">0</f>
        <v>0</v>
      </c>
      <c r="R410" s="71" t="n">
        <f aca="false">0</f>
        <v>0</v>
      </c>
      <c r="S410" s="71" t="n">
        <f aca="false">0</f>
        <v>0</v>
      </c>
      <c r="T410" s="71" t="n">
        <f aca="false">0</f>
        <v>0</v>
      </c>
      <c r="U410" s="71" t="n">
        <f aca="false">0</f>
        <v>0</v>
      </c>
      <c r="V410" s="71" t="n">
        <f aca="false">0</f>
        <v>0</v>
      </c>
      <c r="W410" s="71" t="n">
        <f aca="false">0</f>
        <v>0</v>
      </c>
      <c r="X410" s="71" t="n">
        <f aca="false">0</f>
        <v>0</v>
      </c>
      <c r="Y410" s="71" t="n">
        <f aca="false">0</f>
        <v>0</v>
      </c>
      <c r="Z410" s="71" t="n">
        <f aca="false">0</f>
        <v>0</v>
      </c>
      <c r="AA410" s="71" t="n">
        <f aca="false">0</f>
        <v>0</v>
      </c>
      <c r="AB410" s="71" t="n">
        <f aca="false">0</f>
        <v>0</v>
      </c>
    </row>
    <row r="411" customFormat="false" ht="15" hidden="false" customHeight="false" outlineLevel="0" collapsed="false">
      <c r="A411" s="28" t="s">
        <v>334</v>
      </c>
      <c r="B411" s="58" t="s">
        <v>53</v>
      </c>
      <c r="C411" s="59" t="n">
        <f aca="false">SUM(E411:P411)</f>
        <v>0</v>
      </c>
      <c r="D411" s="59" t="n">
        <f aca="false">SUM(Q411:AB411)</f>
        <v>0</v>
      </c>
      <c r="E411" s="71" t="n">
        <f aca="false">0</f>
        <v>0</v>
      </c>
      <c r="F411" s="71" t="n">
        <f aca="false">0</f>
        <v>0</v>
      </c>
      <c r="G411" s="71" t="n">
        <f aca="false">0</f>
        <v>0</v>
      </c>
      <c r="H411" s="71" t="n">
        <f aca="false">0</f>
        <v>0</v>
      </c>
      <c r="I411" s="71" t="n">
        <f aca="false">0</f>
        <v>0</v>
      </c>
      <c r="J411" s="71" t="n">
        <f aca="false">0</f>
        <v>0</v>
      </c>
      <c r="K411" s="71" t="n">
        <f aca="false">0</f>
        <v>0</v>
      </c>
      <c r="L411" s="71" t="n">
        <f aca="false">0</f>
        <v>0</v>
      </c>
      <c r="M411" s="71" t="n">
        <f aca="false">0</f>
        <v>0</v>
      </c>
      <c r="N411" s="71" t="n">
        <f aca="false">0</f>
        <v>0</v>
      </c>
      <c r="O411" s="71" t="n">
        <f aca="false">0</f>
        <v>0</v>
      </c>
      <c r="P411" s="71" t="n">
        <f aca="false">0</f>
        <v>0</v>
      </c>
      <c r="Q411" s="71" t="n">
        <f aca="false">0</f>
        <v>0</v>
      </c>
      <c r="R411" s="71" t="n">
        <f aca="false">0</f>
        <v>0</v>
      </c>
      <c r="S411" s="71" t="n">
        <f aca="false">0</f>
        <v>0</v>
      </c>
      <c r="T411" s="71" t="n">
        <f aca="false">0</f>
        <v>0</v>
      </c>
      <c r="U411" s="71" t="n">
        <f aca="false">0</f>
        <v>0</v>
      </c>
      <c r="V411" s="71" t="n">
        <f aca="false">0</f>
        <v>0</v>
      </c>
      <c r="W411" s="71" t="n">
        <f aca="false">0</f>
        <v>0</v>
      </c>
      <c r="X411" s="71" t="n">
        <f aca="false">0</f>
        <v>0</v>
      </c>
      <c r="Y411" s="71" t="n">
        <f aca="false">0</f>
        <v>0</v>
      </c>
      <c r="Z411" s="71" t="n">
        <f aca="false">0</f>
        <v>0</v>
      </c>
      <c r="AA411" s="71" t="n">
        <f aca="false">0</f>
        <v>0</v>
      </c>
      <c r="AB411" s="71" t="n">
        <f aca="false">0</f>
        <v>0</v>
      </c>
    </row>
    <row r="412" customFormat="false" ht="15" hidden="false" customHeight="false" outlineLevel="0" collapsed="false">
      <c r="A412" s="28" t="s">
        <v>701</v>
      </c>
      <c r="B412" s="58" t="s">
        <v>51</v>
      </c>
      <c r="C412" s="59" t="n">
        <f aca="false">SUM(E412:P412)</f>
        <v>0</v>
      </c>
      <c r="D412" s="59" t="n">
        <f aca="false">SUM(Q412:AB412)</f>
        <v>0</v>
      </c>
      <c r="E412" s="71" t="n">
        <f aca="false">0</f>
        <v>0</v>
      </c>
      <c r="F412" s="71" t="n">
        <f aca="false">0</f>
        <v>0</v>
      </c>
      <c r="G412" s="71" t="n">
        <f aca="false">0</f>
        <v>0</v>
      </c>
      <c r="H412" s="71" t="n">
        <f aca="false">0</f>
        <v>0</v>
      </c>
      <c r="I412" s="71" t="n">
        <f aca="false">0</f>
        <v>0</v>
      </c>
      <c r="J412" s="71" t="n">
        <f aca="false">0</f>
        <v>0</v>
      </c>
      <c r="K412" s="71" t="n">
        <f aca="false">0</f>
        <v>0</v>
      </c>
      <c r="L412" s="71" t="n">
        <f aca="false">0</f>
        <v>0</v>
      </c>
      <c r="M412" s="71" t="n">
        <f aca="false">0</f>
        <v>0</v>
      </c>
      <c r="N412" s="71" t="n">
        <f aca="false">0</f>
        <v>0</v>
      </c>
      <c r="O412" s="71" t="n">
        <f aca="false">0</f>
        <v>0</v>
      </c>
      <c r="P412" s="71" t="n">
        <f aca="false">0</f>
        <v>0</v>
      </c>
      <c r="Q412" s="71" t="n">
        <f aca="false">0</f>
        <v>0</v>
      </c>
      <c r="R412" s="71" t="n">
        <f aca="false">0</f>
        <v>0</v>
      </c>
      <c r="S412" s="71" t="n">
        <f aca="false">0</f>
        <v>0</v>
      </c>
      <c r="T412" s="71" t="n">
        <f aca="false">0</f>
        <v>0</v>
      </c>
      <c r="U412" s="71" t="n">
        <f aca="false">0</f>
        <v>0</v>
      </c>
      <c r="V412" s="71" t="n">
        <f aca="false">0</f>
        <v>0</v>
      </c>
      <c r="W412" s="71" t="n">
        <f aca="false">0</f>
        <v>0</v>
      </c>
      <c r="X412" s="71" t="n">
        <f aca="false">0</f>
        <v>0</v>
      </c>
      <c r="Y412" s="71" t="n">
        <f aca="false">0</f>
        <v>0</v>
      </c>
      <c r="Z412" s="71" t="n">
        <f aca="false">0</f>
        <v>0</v>
      </c>
      <c r="AA412" s="71" t="n">
        <f aca="false">0</f>
        <v>0</v>
      </c>
      <c r="AB412" s="71" t="n">
        <f aca="false">0</f>
        <v>0</v>
      </c>
    </row>
    <row r="413" customFormat="false" ht="15" hidden="false" customHeight="false" outlineLevel="0" collapsed="false">
      <c r="A413" s="68" t="s">
        <v>732</v>
      </c>
      <c r="B413" s="69"/>
      <c r="C413" s="70" t="n">
        <f aca="false">SUM(E413:P413)</f>
        <v>20740.7407407407</v>
      </c>
      <c r="D413" s="70" t="n">
        <f aca="false">SUM(Q413:AB413)</f>
        <v>140259.259259259</v>
      </c>
      <c r="E413" s="70" t="n">
        <f aca="false">SUM(E408:E412)</f>
        <v>0</v>
      </c>
      <c r="F413" s="70" t="n">
        <f aca="false">SUM(F408:F412)</f>
        <v>0</v>
      </c>
      <c r="G413" s="70" t="n">
        <f aca="false">SUM(G408:G412)</f>
        <v>0</v>
      </c>
      <c r="H413" s="70" t="n">
        <f aca="false">SUM(H408:H412)</f>
        <v>0</v>
      </c>
      <c r="I413" s="70" t="n">
        <f aca="false">SUM(I408:I412)</f>
        <v>0</v>
      </c>
      <c r="J413" s="70" t="n">
        <f aca="false">SUM(J408:J412)</f>
        <v>0</v>
      </c>
      <c r="K413" s="70" t="n">
        <f aca="false">SUM(K408:K412)</f>
        <v>0</v>
      </c>
      <c r="L413" s="70" t="n">
        <f aca="false">SUM(L408:L412)</f>
        <v>0</v>
      </c>
      <c r="M413" s="70" t="n">
        <f aca="false">SUM(M408:M412)</f>
        <v>0</v>
      </c>
      <c r="N413" s="70" t="n">
        <f aca="false">SUM(N408:N412)</f>
        <v>0</v>
      </c>
      <c r="O413" s="70" t="n">
        <f aca="false">SUM(O408:O412)</f>
        <v>5925.92592592593</v>
      </c>
      <c r="P413" s="70" t="n">
        <f aca="false">SUM(P408:P412)</f>
        <v>14814.8148148148</v>
      </c>
      <c r="Q413" s="70" t="n">
        <f aca="false">SUM(Q408:Q412)</f>
        <v>26009.2592592593</v>
      </c>
      <c r="R413" s="70" t="n">
        <f aca="false">SUM(R408:R412)</f>
        <v>26009.2592592593</v>
      </c>
      <c r="S413" s="70" t="n">
        <f aca="false">SUM(S408:S412)</f>
        <v>21564.8148148148</v>
      </c>
      <c r="T413" s="70" t="n">
        <f aca="false">SUM(T408:T412)</f>
        <v>12675.9259259259</v>
      </c>
      <c r="U413" s="70" t="n">
        <f aca="false">SUM(U408:U412)</f>
        <v>6750</v>
      </c>
      <c r="V413" s="70" t="n">
        <f aca="false">SUM(V408:V412)</f>
        <v>6750</v>
      </c>
      <c r="W413" s="70" t="n">
        <f aca="false">SUM(W408:W412)</f>
        <v>6750</v>
      </c>
      <c r="X413" s="70" t="n">
        <f aca="false">SUM(X408:X412)</f>
        <v>6750</v>
      </c>
      <c r="Y413" s="70" t="n">
        <f aca="false">SUM(Y408:Y412)</f>
        <v>6750</v>
      </c>
      <c r="Z413" s="70" t="n">
        <f aca="false">SUM(Z408:Z412)</f>
        <v>6750</v>
      </c>
      <c r="AA413" s="70" t="n">
        <f aca="false">SUM(AA408:AA412)</f>
        <v>6750</v>
      </c>
      <c r="AB413" s="70" t="n">
        <f aca="false">SUM(AB408:AB412)</f>
        <v>6750</v>
      </c>
    </row>
    <row r="414" customFormat="false" ht="15" hidden="false" customHeight="false" outlineLevel="0" collapsed="false">
      <c r="A414" s="28" t="s">
        <v>703</v>
      </c>
      <c r="B414" s="58"/>
      <c r="C414" s="59" t="n">
        <f aca="false">SUM(E414:P414)</f>
        <v>17886.1165408251</v>
      </c>
      <c r="D414" s="59" t="n">
        <f aca="false">SUM(Q414:AB414)</f>
        <v>120954.863107329</v>
      </c>
      <c r="E414" s="60" t="n">
        <f aca="false">E413/FX!E11</f>
        <v>0</v>
      </c>
      <c r="F414" s="60" t="n">
        <f aca="false">F413/FX!F11</f>
        <v>0</v>
      </c>
      <c r="G414" s="60" t="n">
        <f aca="false">G413/FX!G11</f>
        <v>0</v>
      </c>
      <c r="H414" s="60" t="n">
        <f aca="false">H413/FX!H11</f>
        <v>0</v>
      </c>
      <c r="I414" s="60" t="n">
        <f aca="false">I413/FX!I11</f>
        <v>0</v>
      </c>
      <c r="J414" s="60" t="n">
        <f aca="false">J413/FX!J11</f>
        <v>0</v>
      </c>
      <c r="K414" s="60" t="n">
        <f aca="false">K413/FX!K11</f>
        <v>0</v>
      </c>
      <c r="L414" s="60" t="n">
        <f aca="false">L413/FX!L11</f>
        <v>0</v>
      </c>
      <c r="M414" s="60" t="n">
        <f aca="false">M413/FX!M11</f>
        <v>0</v>
      </c>
      <c r="N414" s="60" t="n">
        <f aca="false">N413/FX!N11</f>
        <v>0</v>
      </c>
      <c r="O414" s="60" t="n">
        <f aca="false">O413/FX!O11</f>
        <v>5110.3190116643</v>
      </c>
      <c r="P414" s="60" t="n">
        <f aca="false">P413/FX!P11</f>
        <v>12775.7975291608</v>
      </c>
      <c r="Q414" s="60" t="n">
        <f aca="false">Q413/FX!Q11</f>
        <v>22429.5095371329</v>
      </c>
      <c r="R414" s="60" t="n">
        <f aca="false">R413/FX!R11</f>
        <v>22429.5095371329</v>
      </c>
      <c r="S414" s="60" t="n">
        <f aca="false">S413/FX!S11</f>
        <v>18596.7702783846</v>
      </c>
      <c r="T414" s="60" t="n">
        <f aca="false">T413/FX!T11</f>
        <v>10931.2917608882</v>
      </c>
      <c r="U414" s="60" t="n">
        <f aca="false">U413/FX!U11</f>
        <v>5820.97274922387</v>
      </c>
      <c r="V414" s="60" t="n">
        <f aca="false">V413/FX!V11</f>
        <v>5820.97274922387</v>
      </c>
      <c r="W414" s="60" t="n">
        <f aca="false">W413/FX!W11</f>
        <v>5820.97274922387</v>
      </c>
      <c r="X414" s="60" t="n">
        <f aca="false">X413/FX!X11</f>
        <v>5820.97274922387</v>
      </c>
      <c r="Y414" s="60" t="n">
        <f aca="false">Y413/FX!Y11</f>
        <v>5820.97274922387</v>
      </c>
      <c r="Z414" s="60" t="n">
        <f aca="false">Z413/FX!Z11</f>
        <v>5820.97274922387</v>
      </c>
      <c r="AA414" s="60" t="n">
        <f aca="false">AA413/FX!AA11</f>
        <v>5820.97274922387</v>
      </c>
      <c r="AB414" s="60" t="n">
        <f aca="false">AB413/FX!AB11</f>
        <v>5820.97274922387</v>
      </c>
    </row>
    <row r="415" customFormat="false" ht="15" hidden="false" customHeight="false" outlineLevel="0" collapsed="false">
      <c r="A415" s="28" t="s">
        <v>704</v>
      </c>
      <c r="B415" s="58" t="s">
        <v>51</v>
      </c>
      <c r="C415" s="59" t="n">
        <f aca="false">SUM(E415:P415)</f>
        <v>0</v>
      </c>
      <c r="D415" s="59" t="n">
        <f aca="false">SUM(Q415:AB415)</f>
        <v>0</v>
      </c>
      <c r="E415" s="71" t="n">
        <f aca="false">0</f>
        <v>0</v>
      </c>
      <c r="F415" s="71" t="n">
        <f aca="false">0</f>
        <v>0</v>
      </c>
      <c r="G415" s="71" t="n">
        <f aca="false">0</f>
        <v>0</v>
      </c>
      <c r="H415" s="71" t="n">
        <f aca="false">0</f>
        <v>0</v>
      </c>
      <c r="I415" s="71" t="n">
        <f aca="false">0</f>
        <v>0</v>
      </c>
      <c r="J415" s="71" t="n">
        <f aca="false">0</f>
        <v>0</v>
      </c>
      <c r="K415" s="71" t="n">
        <f aca="false">0</f>
        <v>0</v>
      </c>
      <c r="L415" s="71" t="n">
        <f aca="false">0</f>
        <v>0</v>
      </c>
      <c r="M415" s="71" t="n">
        <f aca="false">0</f>
        <v>0</v>
      </c>
      <c r="N415" s="71" t="n">
        <f aca="false">0</f>
        <v>0</v>
      </c>
      <c r="O415" s="71" t="n">
        <f aca="false">0</f>
        <v>0</v>
      </c>
      <c r="P415" s="71" t="n">
        <f aca="false">0</f>
        <v>0</v>
      </c>
      <c r="Q415" s="71" t="n">
        <f aca="false">0</f>
        <v>0</v>
      </c>
      <c r="R415" s="71" t="n">
        <f aca="false">0</f>
        <v>0</v>
      </c>
      <c r="S415" s="71" t="n">
        <f aca="false">0</f>
        <v>0</v>
      </c>
      <c r="T415" s="71" t="n">
        <f aca="false">0</f>
        <v>0</v>
      </c>
      <c r="U415" s="71" t="n">
        <f aca="false">0</f>
        <v>0</v>
      </c>
      <c r="V415" s="71" t="n">
        <f aca="false">0</f>
        <v>0</v>
      </c>
      <c r="W415" s="71" t="n">
        <f aca="false">0</f>
        <v>0</v>
      </c>
      <c r="X415" s="71" t="n">
        <f aca="false">0</f>
        <v>0</v>
      </c>
      <c r="Y415" s="71" t="n">
        <f aca="false">0</f>
        <v>0</v>
      </c>
      <c r="Z415" s="71" t="n">
        <f aca="false">0</f>
        <v>0</v>
      </c>
      <c r="AA415" s="71" t="n">
        <f aca="false">0</f>
        <v>0</v>
      </c>
      <c r="AB415" s="71" t="n">
        <f aca="false">0</f>
        <v>0</v>
      </c>
    </row>
    <row r="416" customFormat="false" ht="15" hidden="false" customHeight="false" outlineLevel="0" collapsed="false">
      <c r="A416" s="68" t="s">
        <v>705</v>
      </c>
      <c r="B416" s="69" t="s">
        <v>706</v>
      </c>
      <c r="C416" s="70" t="n">
        <f aca="false">SUM(E416:P416)</f>
        <v>17886.1165408251</v>
      </c>
      <c r="D416" s="70" t="n">
        <f aca="false">SUM(Q416:AB416)</f>
        <v>120954.863107329</v>
      </c>
      <c r="E416" s="70" t="n">
        <f aca="false">E414-E415</f>
        <v>0</v>
      </c>
      <c r="F416" s="70" t="n">
        <f aca="false">F414-F415</f>
        <v>0</v>
      </c>
      <c r="G416" s="70" t="n">
        <f aca="false">G414-G415</f>
        <v>0</v>
      </c>
      <c r="H416" s="70" t="n">
        <f aca="false">H414-H415</f>
        <v>0</v>
      </c>
      <c r="I416" s="70" t="n">
        <f aca="false">I414-I415</f>
        <v>0</v>
      </c>
      <c r="J416" s="70" t="n">
        <f aca="false">J414-J415</f>
        <v>0</v>
      </c>
      <c r="K416" s="70" t="n">
        <f aca="false">K414-K415</f>
        <v>0</v>
      </c>
      <c r="L416" s="70" t="n">
        <f aca="false">L414-L415</f>
        <v>0</v>
      </c>
      <c r="M416" s="70" t="n">
        <f aca="false">M414-M415</f>
        <v>0</v>
      </c>
      <c r="N416" s="70" t="n">
        <f aca="false">N414-N415</f>
        <v>0</v>
      </c>
      <c r="O416" s="70" t="n">
        <f aca="false">O414-O415</f>
        <v>5110.3190116643</v>
      </c>
      <c r="P416" s="70" t="n">
        <f aca="false">P414-P415</f>
        <v>12775.7975291608</v>
      </c>
      <c r="Q416" s="70" t="n">
        <f aca="false">Q414-Q415</f>
        <v>22429.5095371329</v>
      </c>
      <c r="R416" s="70" t="n">
        <f aca="false">R414-R415</f>
        <v>22429.5095371329</v>
      </c>
      <c r="S416" s="70" t="n">
        <f aca="false">S414-S415</f>
        <v>18596.7702783846</v>
      </c>
      <c r="T416" s="70" t="n">
        <f aca="false">T414-T415</f>
        <v>10931.2917608882</v>
      </c>
      <c r="U416" s="70" t="n">
        <f aca="false">U414-U415</f>
        <v>5820.97274922387</v>
      </c>
      <c r="V416" s="70" t="n">
        <f aca="false">V414-V415</f>
        <v>5820.97274922387</v>
      </c>
      <c r="W416" s="70" t="n">
        <f aca="false">W414-W415</f>
        <v>5820.97274922387</v>
      </c>
      <c r="X416" s="70" t="n">
        <f aca="false">X414-X415</f>
        <v>5820.97274922387</v>
      </c>
      <c r="Y416" s="70" t="n">
        <f aca="false">Y414-Y415</f>
        <v>5820.97274922387</v>
      </c>
      <c r="Z416" s="70" t="n">
        <f aca="false">Z414-Z415</f>
        <v>5820.97274922387</v>
      </c>
      <c r="AA416" s="70" t="n">
        <f aca="false">AA414-AA415</f>
        <v>5820.97274922387</v>
      </c>
      <c r="AB416" s="70" t="n">
        <f aca="false">AB414-AB415</f>
        <v>5820.97274922387</v>
      </c>
    </row>
    <row r="417" customFormat="false" ht="15" hidden="false" customHeight="false" outlineLevel="0" collapsed="false">
      <c r="A417" s="28" t="s">
        <v>707</v>
      </c>
      <c r="B417" s="58" t="s">
        <v>708</v>
      </c>
      <c r="C417" s="66" t="n">
        <f aca="false">SUM(E417:P417)</f>
        <v>194.444444444444</v>
      </c>
      <c r="D417" s="66" t="n">
        <f aca="false">SUM(Q417:AB417)</f>
        <v>1327.75555555556</v>
      </c>
      <c r="E417" s="67" t="n">
        <f aca="false">Retainers!E123+Projects!E194</f>
        <v>0</v>
      </c>
      <c r="F417" s="67" t="n">
        <f aca="false">Retainers!F123+Projects!F194</f>
        <v>0</v>
      </c>
      <c r="G417" s="67" t="n">
        <f aca="false">Retainers!G123+Projects!G194</f>
        <v>0</v>
      </c>
      <c r="H417" s="67" t="n">
        <f aca="false">Retainers!H123+Projects!H194</f>
        <v>0</v>
      </c>
      <c r="I417" s="67" t="n">
        <f aca="false">Retainers!I123+Projects!I194</f>
        <v>0</v>
      </c>
      <c r="J417" s="67" t="n">
        <f aca="false">Retainers!J123+Projects!J194</f>
        <v>0</v>
      </c>
      <c r="K417" s="67" t="n">
        <f aca="false">Retainers!K123+Projects!K194</f>
        <v>0</v>
      </c>
      <c r="L417" s="67" t="n">
        <f aca="false">Retainers!L123+Projects!L194</f>
        <v>0</v>
      </c>
      <c r="M417" s="67" t="n">
        <f aca="false">Retainers!M123+Projects!M194</f>
        <v>0</v>
      </c>
      <c r="N417" s="67" t="n">
        <f aca="false">Retainers!N123+Projects!N194</f>
        <v>0</v>
      </c>
      <c r="O417" s="67" t="n">
        <f aca="false">Retainers!O123+Projects!O194</f>
        <v>55.5555555555556</v>
      </c>
      <c r="P417" s="67" t="n">
        <f aca="false">Retainers!P123+Projects!P194</f>
        <v>138.888888888889</v>
      </c>
      <c r="Q417" s="67" t="n">
        <f aca="false">Retainers!Q123+Projects!Q194</f>
        <v>244.905555555556</v>
      </c>
      <c r="R417" s="67" t="n">
        <f aca="false">Retainers!R123+Projects!R194</f>
        <v>244.905555555556</v>
      </c>
      <c r="S417" s="67" t="n">
        <f aca="false">Retainers!S123+Projects!S194</f>
        <v>203.238888888889</v>
      </c>
      <c r="T417" s="67" t="n">
        <f aca="false">Retainers!T123+Projects!T194</f>
        <v>119.905555555556</v>
      </c>
      <c r="U417" s="67" t="n">
        <f aca="false">Retainers!U123+Projects!U194</f>
        <v>64.35</v>
      </c>
      <c r="V417" s="67" t="n">
        <f aca="false">Retainers!V123+Projects!V194</f>
        <v>64.35</v>
      </c>
      <c r="W417" s="67" t="n">
        <f aca="false">Retainers!W123+Projects!W194</f>
        <v>64.35</v>
      </c>
      <c r="X417" s="67" t="n">
        <f aca="false">Retainers!X123+Projects!X194</f>
        <v>64.35</v>
      </c>
      <c r="Y417" s="67" t="n">
        <f aca="false">Retainers!Y123+Projects!Y194</f>
        <v>64.35</v>
      </c>
      <c r="Z417" s="67" t="n">
        <f aca="false">Retainers!Z123+Projects!Z194</f>
        <v>64.35</v>
      </c>
      <c r="AA417" s="67" t="n">
        <f aca="false">Retainers!AA123+Projects!AA194</f>
        <v>64.35</v>
      </c>
      <c r="AB417" s="67" t="n">
        <f aca="false">Retainers!AB123+Projects!AB194</f>
        <v>64.35</v>
      </c>
    </row>
    <row r="418" customFormat="false" ht="15" hidden="false" customHeight="false" outlineLevel="0" collapsed="false">
      <c r="A418" s="28" t="s">
        <v>709</v>
      </c>
      <c r="B418" s="58" t="s">
        <v>710</v>
      </c>
      <c r="C418" s="59" t="n">
        <f aca="false">SUM(E418:P418)</f>
        <v>10289.3072497123</v>
      </c>
      <c r="D418" s="59" t="n">
        <f aca="false">SUM(Q418:AB418)</f>
        <v>74356.1277346836</v>
      </c>
      <c r="E418" s="60" t="n">
        <f aca="false">Retainers!E123*Utilisation!E90+Projects!E194*Utilisation!E91</f>
        <v>0</v>
      </c>
      <c r="F418" s="60" t="n">
        <f aca="false">Retainers!F123*Utilisation!F90+Projects!F194*Utilisation!F91</f>
        <v>0</v>
      </c>
      <c r="G418" s="60" t="n">
        <f aca="false">Retainers!G123*Utilisation!G90+Projects!G194*Utilisation!G91</f>
        <v>0</v>
      </c>
      <c r="H418" s="60" t="n">
        <f aca="false">Retainers!H123*Utilisation!H90+Projects!H194*Utilisation!H91</f>
        <v>0</v>
      </c>
      <c r="I418" s="60" t="n">
        <f aca="false">Retainers!I123*Utilisation!I90+Projects!I194*Utilisation!I91</f>
        <v>0</v>
      </c>
      <c r="J418" s="60" t="n">
        <f aca="false">Retainers!J123*Utilisation!J90+Projects!J194*Utilisation!J91</f>
        <v>0</v>
      </c>
      <c r="K418" s="60" t="n">
        <f aca="false">Retainers!K123*Utilisation!K90+Projects!K194*Utilisation!K91</f>
        <v>0</v>
      </c>
      <c r="L418" s="60" t="n">
        <f aca="false">Retainers!L123*Utilisation!L90+Projects!L194*Utilisation!L91</f>
        <v>0</v>
      </c>
      <c r="M418" s="60" t="n">
        <f aca="false">Retainers!M123*Utilisation!M90+Projects!M194*Utilisation!M91</f>
        <v>0</v>
      </c>
      <c r="N418" s="60" t="n">
        <f aca="false">Retainers!N123*Utilisation!N90+Projects!N194*Utilisation!N91</f>
        <v>0</v>
      </c>
      <c r="O418" s="60" t="n">
        <f aca="false">Retainers!O123*Utilisation!O90+Projects!O194*Utilisation!O91</f>
        <v>2939.80207134638</v>
      </c>
      <c r="P418" s="60" t="n">
        <f aca="false">Retainers!P123*Utilisation!P90+Projects!P194*Utilisation!P91</f>
        <v>7349.50517836594</v>
      </c>
      <c r="Q418" s="60" t="n">
        <f aca="false">Retainers!Q123*Utilisation!Q90+Projects!Q194*Utilisation!Q91</f>
        <v>13620.5691255696</v>
      </c>
      <c r="R418" s="60" t="n">
        <f aca="false">Retainers!R123*Utilisation!R90+Projects!R194*Utilisation!R91</f>
        <v>13620.5691255696</v>
      </c>
      <c r="S418" s="60" t="n">
        <f aca="false">Retainers!S123*Utilisation!S90+Projects!S194*Utilisation!S91</f>
        <v>11316.4992521519</v>
      </c>
      <c r="T418" s="60" t="n">
        <f aca="false">Retainers!T123*Utilisation!T90+Projects!T194*Utilisation!T91</f>
        <v>6708.35950531646</v>
      </c>
      <c r="U418" s="60" t="n">
        <f aca="false">Retainers!U123*Utilisation!U90+Projects!U194*Utilisation!U91</f>
        <v>3636.26634075949</v>
      </c>
      <c r="V418" s="60" t="n">
        <f aca="false">Retainers!V123*Utilisation!V90+Projects!V194*Utilisation!V91</f>
        <v>3636.26634075949</v>
      </c>
      <c r="W418" s="60" t="n">
        <f aca="false">Retainers!W123*Utilisation!W90+Projects!W194*Utilisation!W91</f>
        <v>3636.26634075949</v>
      </c>
      <c r="X418" s="60" t="n">
        <f aca="false">Retainers!X123*Utilisation!X90+Projects!X194*Utilisation!X91</f>
        <v>3636.26634075949</v>
      </c>
      <c r="Y418" s="60" t="n">
        <f aca="false">Retainers!Y123*Utilisation!Y90+Projects!Y194*Utilisation!Y91</f>
        <v>3636.26634075949</v>
      </c>
      <c r="Z418" s="60" t="n">
        <f aca="false">Retainers!Z123*Utilisation!Z90+Projects!Z194*Utilisation!Z91</f>
        <v>3636.26634075949</v>
      </c>
      <c r="AA418" s="60" t="n">
        <f aca="false">Retainers!AA123*Utilisation!AA90+Projects!AA194*Utilisation!AA91</f>
        <v>3636.26634075949</v>
      </c>
      <c r="AB418" s="60" t="n">
        <f aca="false">Retainers!AB123*Utilisation!AB90+Projects!AB194*Utilisation!AB91</f>
        <v>3636.26634075949</v>
      </c>
    </row>
    <row r="419" customFormat="false" ht="15" hidden="false" customHeight="false" outlineLevel="0" collapsed="false">
      <c r="A419" s="28" t="s">
        <v>711</v>
      </c>
      <c r="B419" s="58" t="s">
        <v>53</v>
      </c>
      <c r="C419" s="59" t="n">
        <f aca="false">SUM(E419:P419)</f>
        <v>0</v>
      </c>
      <c r="D419" s="59" t="n">
        <f aca="false">SUM(Q419:AB419)</f>
        <v>0</v>
      </c>
      <c r="E419" s="71" t="n">
        <f aca="false">0</f>
        <v>0</v>
      </c>
      <c r="F419" s="71" t="n">
        <f aca="false">0</f>
        <v>0</v>
      </c>
      <c r="G419" s="71" t="n">
        <f aca="false">0</f>
        <v>0</v>
      </c>
      <c r="H419" s="71" t="n">
        <f aca="false">0</f>
        <v>0</v>
      </c>
      <c r="I419" s="71" t="n">
        <f aca="false">0</f>
        <v>0</v>
      </c>
      <c r="J419" s="71" t="n">
        <f aca="false">0</f>
        <v>0</v>
      </c>
      <c r="K419" s="71" t="n">
        <f aca="false">0</f>
        <v>0</v>
      </c>
      <c r="L419" s="71" t="n">
        <f aca="false">0</f>
        <v>0</v>
      </c>
      <c r="M419" s="71" t="n">
        <f aca="false">0</f>
        <v>0</v>
      </c>
      <c r="N419" s="71" t="n">
        <f aca="false">0</f>
        <v>0</v>
      </c>
      <c r="O419" s="71" t="n">
        <f aca="false">0</f>
        <v>0</v>
      </c>
      <c r="P419" s="71" t="n">
        <f aca="false">0</f>
        <v>0</v>
      </c>
      <c r="Q419" s="71" t="n">
        <f aca="false">0</f>
        <v>0</v>
      </c>
      <c r="R419" s="71" t="n">
        <f aca="false">0</f>
        <v>0</v>
      </c>
      <c r="S419" s="71" t="n">
        <f aca="false">0</f>
        <v>0</v>
      </c>
      <c r="T419" s="71" t="n">
        <f aca="false">0</f>
        <v>0</v>
      </c>
      <c r="U419" s="71" t="n">
        <f aca="false">0</f>
        <v>0</v>
      </c>
      <c r="V419" s="71" t="n">
        <f aca="false">0</f>
        <v>0</v>
      </c>
      <c r="W419" s="71" t="n">
        <f aca="false">0</f>
        <v>0</v>
      </c>
      <c r="X419" s="71" t="n">
        <f aca="false">0</f>
        <v>0</v>
      </c>
      <c r="Y419" s="71" t="n">
        <f aca="false">0</f>
        <v>0</v>
      </c>
      <c r="Z419" s="71" t="n">
        <f aca="false">0</f>
        <v>0</v>
      </c>
      <c r="AA419" s="71" t="n">
        <f aca="false">0</f>
        <v>0</v>
      </c>
      <c r="AB419" s="71" t="n">
        <f aca="false">0</f>
        <v>0</v>
      </c>
    </row>
    <row r="420" customFormat="false" ht="15" hidden="false" customHeight="false" outlineLevel="0" collapsed="false">
      <c r="A420" s="28" t="s">
        <v>712</v>
      </c>
      <c r="B420" s="58" t="s">
        <v>713</v>
      </c>
      <c r="C420" s="59" t="n">
        <f aca="false">SUM(E420:P420)</f>
        <v>24000</v>
      </c>
      <c r="D420" s="59" t="n">
        <f aca="false">SUM(Q420:AB420)</f>
        <v>137000</v>
      </c>
      <c r="E420" s="60" t="n">
        <f aca="false">Retainers!E126+Projects!E202+E411+E419+E412</f>
        <v>0</v>
      </c>
      <c r="F420" s="60" t="n">
        <f aca="false">Retainers!F126+Projects!F202+F411+F419+F412</f>
        <v>0</v>
      </c>
      <c r="G420" s="60" t="n">
        <f aca="false">Retainers!G126+Projects!G202+G411+G419+G412</f>
        <v>0</v>
      </c>
      <c r="H420" s="60" t="n">
        <f aca="false">Retainers!H126+Projects!H202+H411+H419+H412</f>
        <v>0</v>
      </c>
      <c r="I420" s="60" t="n">
        <f aca="false">Retainers!I126+Projects!I202+I411+I419+I412</f>
        <v>0</v>
      </c>
      <c r="J420" s="60" t="n">
        <f aca="false">Retainers!J126+Projects!J202+J411+J419+J412</f>
        <v>0</v>
      </c>
      <c r="K420" s="60" t="n">
        <f aca="false">Retainers!K126+Projects!K202+K411+K419+K412</f>
        <v>0</v>
      </c>
      <c r="L420" s="60" t="n">
        <f aca="false">Retainers!L126+Projects!L202+L411+L419+L412</f>
        <v>0</v>
      </c>
      <c r="M420" s="60" t="n">
        <f aca="false">Retainers!M126+Projects!M202+M411+M419+M412</f>
        <v>0</v>
      </c>
      <c r="N420" s="60" t="n">
        <f aca="false">Retainers!N126+Projects!N202+N411+N419+N412</f>
        <v>0</v>
      </c>
      <c r="O420" s="60" t="n">
        <f aca="false">Retainers!O126+Projects!O202+O411+O419+O412</f>
        <v>24000</v>
      </c>
      <c r="P420" s="60" t="n">
        <f aca="false">Retainers!P126+Projects!P202+P411+P419+P412</f>
        <v>0</v>
      </c>
      <c r="Q420" s="60" t="n">
        <f aca="false">Retainers!Q126+Projects!Q202+Q411+Q419+Q412</f>
        <v>6750</v>
      </c>
      <c r="R420" s="60" t="n">
        <f aca="false">Retainers!R126+Projects!R202+R411+R419+R412</f>
        <v>38750</v>
      </c>
      <c r="S420" s="60" t="n">
        <f aca="false">Retainers!S126+Projects!S202+S411+S419+S412</f>
        <v>6750</v>
      </c>
      <c r="T420" s="60" t="n">
        <f aca="false">Retainers!T126+Projects!T202+T411+T419+T412</f>
        <v>30750</v>
      </c>
      <c r="U420" s="60" t="n">
        <f aca="false">Retainers!U126+Projects!U202+U411+U419+U412</f>
        <v>6750</v>
      </c>
      <c r="V420" s="60" t="n">
        <f aca="false">Retainers!V126+Projects!V202+V411+V419+V412</f>
        <v>6750</v>
      </c>
      <c r="W420" s="60" t="n">
        <f aca="false">Retainers!W126+Projects!W202+W411+W419+W412</f>
        <v>6750</v>
      </c>
      <c r="X420" s="60" t="n">
        <f aca="false">Retainers!X126+Projects!X202+X411+X419+X412</f>
        <v>6750</v>
      </c>
      <c r="Y420" s="60" t="n">
        <f aca="false">Retainers!Y126+Projects!Y202+Y411+Y419+Y412</f>
        <v>6750</v>
      </c>
      <c r="Z420" s="60" t="n">
        <f aca="false">Retainers!Z126+Projects!Z202+Z411+Z419+Z412</f>
        <v>6750</v>
      </c>
      <c r="AA420" s="60" t="n">
        <f aca="false">Retainers!AA126+Projects!AA202+AA411+AA419+AA412</f>
        <v>6750</v>
      </c>
      <c r="AB420" s="60" t="n">
        <f aca="false">Retainers!AB126+Projects!AB202+AB411+AB419+AB412</f>
        <v>6750</v>
      </c>
    </row>
    <row r="421" customFormat="false" ht="15" hidden="false" customHeight="false" outlineLevel="0" collapsed="false">
      <c r="A421" s="28" t="s">
        <v>714</v>
      </c>
      <c r="B421" s="58" t="s">
        <v>715</v>
      </c>
      <c r="C421" s="59" t="n">
        <f aca="false">SUM(E421:P421)</f>
        <v>0</v>
      </c>
      <c r="D421" s="59" t="n">
        <f aca="false">SUM(Q421:AB421)</f>
        <v>0</v>
      </c>
      <c r="E421" s="60" t="n">
        <f aca="false">E420*Client_Register!$F$25</f>
        <v>0</v>
      </c>
      <c r="F421" s="60" t="n">
        <f aca="false">F420*Client_Register!$F$25</f>
        <v>0</v>
      </c>
      <c r="G421" s="60" t="n">
        <f aca="false">G420*Client_Register!$F$25</f>
        <v>0</v>
      </c>
      <c r="H421" s="60" t="n">
        <f aca="false">H420*Client_Register!$F$25</f>
        <v>0</v>
      </c>
      <c r="I421" s="60" t="n">
        <f aca="false">I420*Client_Register!$F$25</f>
        <v>0</v>
      </c>
      <c r="J421" s="60" t="n">
        <f aca="false">J420*Client_Register!$F$25</f>
        <v>0</v>
      </c>
      <c r="K421" s="60" t="n">
        <f aca="false">K420*Client_Register!$F$25</f>
        <v>0</v>
      </c>
      <c r="L421" s="60" t="n">
        <f aca="false">L420*Client_Register!$F$25</f>
        <v>0</v>
      </c>
      <c r="M421" s="60" t="n">
        <f aca="false">M420*Client_Register!$F$25</f>
        <v>0</v>
      </c>
      <c r="N421" s="60" t="n">
        <f aca="false">N420*Client_Register!$F$25</f>
        <v>0</v>
      </c>
      <c r="O421" s="60" t="n">
        <f aca="false">O420*Client_Register!$F$25</f>
        <v>0</v>
      </c>
      <c r="P421" s="60" t="n">
        <f aca="false">P420*Client_Register!$F$25</f>
        <v>0</v>
      </c>
      <c r="Q421" s="60" t="n">
        <f aca="false">Q420*Client_Register!$F$25</f>
        <v>0</v>
      </c>
      <c r="R421" s="60" t="n">
        <f aca="false">R420*Client_Register!$F$25</f>
        <v>0</v>
      </c>
      <c r="S421" s="60" t="n">
        <f aca="false">S420*Client_Register!$F$25</f>
        <v>0</v>
      </c>
      <c r="T421" s="60" t="n">
        <f aca="false">T420*Client_Register!$F$25</f>
        <v>0</v>
      </c>
      <c r="U421" s="60" t="n">
        <f aca="false">U420*Client_Register!$F$25</f>
        <v>0</v>
      </c>
      <c r="V421" s="60" t="n">
        <f aca="false">V420*Client_Register!$F$25</f>
        <v>0</v>
      </c>
      <c r="W421" s="60" t="n">
        <f aca="false">W420*Client_Register!$F$25</f>
        <v>0</v>
      </c>
      <c r="X421" s="60" t="n">
        <f aca="false">X420*Client_Register!$F$25</f>
        <v>0</v>
      </c>
      <c r="Y421" s="60" t="n">
        <f aca="false">Y420*Client_Register!$F$25</f>
        <v>0</v>
      </c>
      <c r="Z421" s="60" t="n">
        <f aca="false">Z420*Client_Register!$F$25</f>
        <v>0</v>
      </c>
      <c r="AA421" s="60" t="n">
        <f aca="false">AA420*Client_Register!$F$25</f>
        <v>0</v>
      </c>
      <c r="AB421" s="60" t="n">
        <f aca="false">AB420*Client_Register!$F$25</f>
        <v>0</v>
      </c>
    </row>
    <row r="422" customFormat="false" ht="15" hidden="false" customHeight="false" outlineLevel="0" collapsed="false">
      <c r="A422" s="68" t="s">
        <v>716</v>
      </c>
      <c r="B422" s="69"/>
      <c r="C422" s="70" t="n">
        <f aca="false">SUM(E422:P422)</f>
        <v>24000</v>
      </c>
      <c r="D422" s="70" t="n">
        <f aca="false">SUM(Q422:AB422)</f>
        <v>137000</v>
      </c>
      <c r="E422" s="70" t="n">
        <f aca="false">E420+E421</f>
        <v>0</v>
      </c>
      <c r="F422" s="70" t="n">
        <f aca="false">F420+F421</f>
        <v>0</v>
      </c>
      <c r="G422" s="70" t="n">
        <f aca="false">G420+G421</f>
        <v>0</v>
      </c>
      <c r="H422" s="70" t="n">
        <f aca="false">H420+H421</f>
        <v>0</v>
      </c>
      <c r="I422" s="70" t="n">
        <f aca="false">I420+I421</f>
        <v>0</v>
      </c>
      <c r="J422" s="70" t="n">
        <f aca="false">J420+J421</f>
        <v>0</v>
      </c>
      <c r="K422" s="70" t="n">
        <f aca="false">K420+K421</f>
        <v>0</v>
      </c>
      <c r="L422" s="70" t="n">
        <f aca="false">L420+L421</f>
        <v>0</v>
      </c>
      <c r="M422" s="70" t="n">
        <f aca="false">M420+M421</f>
        <v>0</v>
      </c>
      <c r="N422" s="70" t="n">
        <f aca="false">N420+N421</f>
        <v>0</v>
      </c>
      <c r="O422" s="70" t="n">
        <f aca="false">O420+O421</f>
        <v>24000</v>
      </c>
      <c r="P422" s="70" t="n">
        <f aca="false">P420+P421</f>
        <v>0</v>
      </c>
      <c r="Q422" s="70" t="n">
        <f aca="false">Q420+Q421</f>
        <v>6750</v>
      </c>
      <c r="R422" s="70" t="n">
        <f aca="false">R420+R421</f>
        <v>38750</v>
      </c>
      <c r="S422" s="70" t="n">
        <f aca="false">S420+S421</f>
        <v>6750</v>
      </c>
      <c r="T422" s="70" t="n">
        <f aca="false">T420+T421</f>
        <v>30750</v>
      </c>
      <c r="U422" s="70" t="n">
        <f aca="false">U420+U421</f>
        <v>6750</v>
      </c>
      <c r="V422" s="70" t="n">
        <f aca="false">V420+V421</f>
        <v>6750</v>
      </c>
      <c r="W422" s="70" t="n">
        <f aca="false">W420+W421</f>
        <v>6750</v>
      </c>
      <c r="X422" s="70" t="n">
        <f aca="false">X420+X421</f>
        <v>6750</v>
      </c>
      <c r="Y422" s="70" t="n">
        <f aca="false">Y420+Y421</f>
        <v>6750</v>
      </c>
      <c r="Z422" s="70" t="n">
        <f aca="false">Z420+Z421</f>
        <v>6750</v>
      </c>
      <c r="AA422" s="70" t="n">
        <f aca="false">AA420+AA421</f>
        <v>6750</v>
      </c>
      <c r="AB422" s="70" t="n">
        <f aca="false">AB420+AB421</f>
        <v>6750</v>
      </c>
    </row>
    <row r="423" customFormat="false" ht="15" hidden="false" customHeight="false" outlineLevel="0" collapsed="false">
      <c r="A423" s="28" t="s">
        <v>717</v>
      </c>
      <c r="B423" s="58" t="s">
        <v>718</v>
      </c>
      <c r="C423" s="59" t="n">
        <f aca="false">SUM(E423:P423)</f>
        <v>12000</v>
      </c>
      <c r="D423" s="59" t="n">
        <f aca="false">SUM(Q423:AB423)</f>
        <v>138875</v>
      </c>
      <c r="E423" s="60" t="n">
        <f aca="false">IF(E$5="A",0,Client_Register!$T$25+E422-(E422*MIN(1,Client_Register!$J$25/30)+0*MIN(1,MAX(0,(Client_Register!$J$25-30)/30))+0*MIN(1,MAX(0,(Client_Register!$J$25-60)/30))))</f>
        <v>0</v>
      </c>
      <c r="F423" s="60" t="n">
        <f aca="false">IF(F$5="A",0,E424+F422-(F422*MIN(1,Client_Register!$J$25/30)+E422*MIN(1,MAX(0,(Client_Register!$J$25-30)/30))+0*MIN(1,MAX(0,(Client_Register!$J$25-60)/30))))</f>
        <v>0</v>
      </c>
      <c r="G423" s="60" t="n">
        <f aca="false">IF(G$5="A",0,F424+G422-(G422*MIN(1,Client_Register!$J$25/30)+F422*MIN(1,MAX(0,(Client_Register!$J$25-30)/30))+E422*MIN(1,MAX(0,(Client_Register!$J$25-60)/30))))</f>
        <v>0</v>
      </c>
      <c r="H423" s="60" t="n">
        <f aca="false">IF(H$5="A",0,G424+H422-(H422*MIN(1,Client_Register!$J$25/30)+G422*MIN(1,MAX(0,(Client_Register!$J$25-30)/30))+F422*MIN(1,MAX(0,(Client_Register!$J$25-60)/30))))</f>
        <v>0</v>
      </c>
      <c r="I423" s="60" t="n">
        <f aca="false">IF(I$5="A",0,H424+I422-(I422*MIN(1,Client_Register!$J$25/30)+H422*MIN(1,MAX(0,(Client_Register!$J$25-30)/30))+G422*MIN(1,MAX(0,(Client_Register!$J$25-60)/30))))</f>
        <v>0</v>
      </c>
      <c r="J423" s="60" t="n">
        <f aca="false">IF(J$5="A",0,I424+J422-(J422*MIN(1,Client_Register!$J$25/30)+I422*MIN(1,MAX(0,(Client_Register!$J$25-30)/30))+H422*MIN(1,MAX(0,(Client_Register!$J$25-60)/30))))</f>
        <v>0</v>
      </c>
      <c r="K423" s="60" t="n">
        <f aca="false">IF(K$5="A",0,J424+K422-(K422*MIN(1,Client_Register!$J$25/30)+J422*MIN(1,MAX(0,(Client_Register!$J$25-30)/30))+I422*MIN(1,MAX(0,(Client_Register!$J$25-60)/30))))</f>
        <v>0</v>
      </c>
      <c r="L423" s="60" t="n">
        <f aca="false">IF(L$5="A",0,K424+L422-(L422*MIN(1,Client_Register!$J$25/30)+K422*MIN(1,MAX(0,(Client_Register!$J$25-30)/30))+J422*MIN(1,MAX(0,(Client_Register!$J$25-60)/30))))</f>
        <v>0</v>
      </c>
      <c r="M423" s="60" t="n">
        <f aca="false">IF(M$5="A",0,L424+M422-(M422*MIN(1,Client_Register!$J$25/30)+L422*MIN(1,MAX(0,(Client_Register!$J$25-30)/30))+K422*MIN(1,MAX(0,(Client_Register!$J$25-60)/30))))</f>
        <v>0</v>
      </c>
      <c r="N423" s="60" t="n">
        <f aca="false">IF(N$5="A",0,M424+N422-(N422*MIN(1,Client_Register!$J$25/30)+M422*MIN(1,MAX(0,(Client_Register!$J$25-30)/30))+L422*MIN(1,MAX(0,(Client_Register!$J$25-60)/30))))</f>
        <v>0</v>
      </c>
      <c r="O423" s="60" t="n">
        <f aca="false">IF(O$5="A",0,N424+O422-(O422*MIN(1,Client_Register!$J$25/30)+N422*MIN(1,MAX(0,(Client_Register!$J$25-30)/30))+M422*MIN(1,MAX(0,(Client_Register!$J$25-60)/30))))</f>
        <v>0</v>
      </c>
      <c r="P423" s="60" t="n">
        <f aca="false">IF(P$5="A",0,O424+P422-(P422*MIN(1,Client_Register!$J$25/30)+O422*MIN(1,MAX(0,(Client_Register!$J$25-30)/30))+N422*MIN(1,MAX(0,(Client_Register!$J$25-60)/30))))</f>
        <v>12000</v>
      </c>
      <c r="Q423" s="60" t="n">
        <f aca="false">IF(Q$5="A",0,P424+Q422-(Q422*MIN(1,Client_Register!$J$25/30)+P422*MIN(1,MAX(0,(Client_Register!$J$25-30)/30))+O422*MIN(1,MAX(0,(Client_Register!$J$25-60)/30))))</f>
        <v>12000</v>
      </c>
      <c r="R423" s="60" t="n">
        <f aca="false">IF(R$5="A",0,Q424+R422-(R422*MIN(1,Client_Register!$J$25/30)+Q422*MIN(1,MAX(0,(Client_Register!$J$25-30)/30))+P422*MIN(1,MAX(0,(Client_Register!$J$25-60)/30))))</f>
        <v>3375</v>
      </c>
      <c r="S423" s="60" t="n">
        <f aca="false">IF(S$5="A",0,R424+S422-(S422*MIN(1,Client_Register!$J$25/30)+R422*MIN(1,MAX(0,(Client_Register!$J$25-30)/30))+Q422*MIN(1,MAX(0,(Client_Register!$J$25-60)/30))))</f>
        <v>22750</v>
      </c>
      <c r="T423" s="60" t="n">
        <f aca="false">IF(T$5="A",0,S424+T422-(T422*MIN(1,Client_Register!$J$25/30)+S422*MIN(1,MAX(0,(Client_Register!$J$25-30)/30))+R422*MIN(1,MAX(0,(Client_Register!$J$25-60)/30))))</f>
        <v>22750</v>
      </c>
      <c r="U423" s="60" t="n">
        <f aca="false">IF(U$5="A",0,T424+U422-(U422*MIN(1,Client_Register!$J$25/30)+T422*MIN(1,MAX(0,(Client_Register!$J$25-30)/30))+S422*MIN(1,MAX(0,(Client_Register!$J$25-60)/30))))</f>
        <v>18750</v>
      </c>
      <c r="V423" s="60" t="n">
        <f aca="false">IF(V$5="A",0,U424+V422-(V422*MIN(1,Client_Register!$J$25/30)+U422*MIN(1,MAX(0,(Client_Register!$J$25-30)/30))+T422*MIN(1,MAX(0,(Client_Register!$J$25-60)/30))))</f>
        <v>18750</v>
      </c>
      <c r="W423" s="60" t="n">
        <f aca="false">IF(W$5="A",0,V424+W422-(W422*MIN(1,Client_Register!$J$25/30)+V422*MIN(1,MAX(0,(Client_Register!$J$25-30)/30))+U422*MIN(1,MAX(0,(Client_Register!$J$25-60)/30))))</f>
        <v>6750</v>
      </c>
      <c r="X423" s="60" t="n">
        <f aca="false">IF(X$5="A",0,W424+X422-(X422*MIN(1,Client_Register!$J$25/30)+W422*MIN(1,MAX(0,(Client_Register!$J$25-30)/30))+V422*MIN(1,MAX(0,(Client_Register!$J$25-60)/30))))</f>
        <v>6750</v>
      </c>
      <c r="Y423" s="60" t="n">
        <f aca="false">IF(Y$5="A",0,X424+Y422-(Y422*MIN(1,Client_Register!$J$25/30)+X422*MIN(1,MAX(0,(Client_Register!$J$25-30)/30))+W422*MIN(1,MAX(0,(Client_Register!$J$25-60)/30))))</f>
        <v>6750</v>
      </c>
      <c r="Z423" s="60" t="n">
        <f aca="false">IF(Z$5="A",0,Y424+Z422-(Z422*MIN(1,Client_Register!$J$25/30)+Y422*MIN(1,MAX(0,(Client_Register!$J$25-30)/30))+X422*MIN(1,MAX(0,(Client_Register!$J$25-60)/30))))</f>
        <v>6750</v>
      </c>
      <c r="AA423" s="60" t="n">
        <f aca="false">IF(AA$5="A",0,Z424+AA422-(AA422*MIN(1,Client_Register!$J$25/30)+Z422*MIN(1,MAX(0,(Client_Register!$J$25-30)/30))+Y422*MIN(1,MAX(0,(Client_Register!$J$25-60)/30))))</f>
        <v>6750</v>
      </c>
      <c r="AB423" s="60" t="n">
        <f aca="false">IF(AB$5="A",0,AA424+AB422-(AB422*MIN(1,Client_Register!$J$25/30)+AA422*MIN(1,MAX(0,(Client_Register!$J$25-30)/30))+Z422*MIN(1,MAX(0,(Client_Register!$J$25-60)/30))))</f>
        <v>6750</v>
      </c>
    </row>
    <row r="424" customFormat="false" ht="15" hidden="false" customHeight="false" outlineLevel="0" collapsed="false">
      <c r="A424" s="68" t="s">
        <v>719</v>
      </c>
      <c r="B424" s="69" t="s">
        <v>720</v>
      </c>
      <c r="C424" s="70" t="n">
        <f aca="false">P424</f>
        <v>12000</v>
      </c>
      <c r="D424" s="70" t="n">
        <f aca="false">AB424</f>
        <v>10125</v>
      </c>
      <c r="E424" s="74" t="n">
        <f aca="false">Client_Register!$T$25+E422-E423</f>
        <v>0</v>
      </c>
      <c r="F424" s="70" t="n">
        <f aca="false">E424+F422-F423</f>
        <v>0</v>
      </c>
      <c r="G424" s="70" t="n">
        <f aca="false">F424+G422-G423</f>
        <v>0</v>
      </c>
      <c r="H424" s="70" t="n">
        <f aca="false">G424+H422-H423</f>
        <v>0</v>
      </c>
      <c r="I424" s="70" t="n">
        <f aca="false">H424+I422-I423</f>
        <v>0</v>
      </c>
      <c r="J424" s="70" t="n">
        <f aca="false">I424+J422-J423</f>
        <v>0</v>
      </c>
      <c r="K424" s="70" t="n">
        <f aca="false">J424+K422-K423</f>
        <v>0</v>
      </c>
      <c r="L424" s="70" t="n">
        <f aca="false">K424+L422-L423</f>
        <v>0</v>
      </c>
      <c r="M424" s="70" t="n">
        <f aca="false">L424+M422-M423</f>
        <v>0</v>
      </c>
      <c r="N424" s="70" t="n">
        <f aca="false">M424+N422-N423</f>
        <v>0</v>
      </c>
      <c r="O424" s="70" t="n">
        <f aca="false">N424+O422-O423</f>
        <v>24000</v>
      </c>
      <c r="P424" s="70" t="n">
        <f aca="false">O424+P422-P423</f>
        <v>12000</v>
      </c>
      <c r="Q424" s="70" t="n">
        <f aca="false">P424+Q422-Q423</f>
        <v>6750</v>
      </c>
      <c r="R424" s="70" t="n">
        <f aca="false">Q424+R422-R423</f>
        <v>42125</v>
      </c>
      <c r="S424" s="70" t="n">
        <f aca="false">R424+S422-S423</f>
        <v>26125</v>
      </c>
      <c r="T424" s="70" t="n">
        <f aca="false">S424+T422-T423</f>
        <v>34125</v>
      </c>
      <c r="U424" s="70" t="n">
        <f aca="false">T424+U422-U423</f>
        <v>22125</v>
      </c>
      <c r="V424" s="70" t="n">
        <f aca="false">U424+V422-V423</f>
        <v>10125</v>
      </c>
      <c r="W424" s="70" t="n">
        <f aca="false">V424+W422-W423</f>
        <v>10125</v>
      </c>
      <c r="X424" s="70" t="n">
        <f aca="false">W424+X422-X423</f>
        <v>10125</v>
      </c>
      <c r="Y424" s="70" t="n">
        <f aca="false">X424+Y422-Y423</f>
        <v>10125</v>
      </c>
      <c r="Z424" s="70" t="n">
        <f aca="false">Y424+Z422-Z423</f>
        <v>10125</v>
      </c>
      <c r="AA424" s="70" t="n">
        <f aca="false">Z424+AA422-AA423</f>
        <v>10125</v>
      </c>
      <c r="AB424" s="70" t="n">
        <f aca="false">AA424+AB422-AB423</f>
        <v>10125</v>
      </c>
    </row>
    <row r="425" customFormat="false" ht="15" hidden="false" customHeight="false" outlineLevel="0" collapsed="false">
      <c r="A425" s="28" t="s">
        <v>721</v>
      </c>
      <c r="B425" s="58" t="s">
        <v>722</v>
      </c>
      <c r="C425" s="59" t="n">
        <f aca="false">P425</f>
        <v>-3259.25925925926</v>
      </c>
      <c r="D425" s="59" t="n">
        <f aca="false">AB425</f>
        <v>0</v>
      </c>
      <c r="E425" s="60" t="n">
        <f aca="false">Client_Register!$U$25+E413-(E420-E419)</f>
        <v>0</v>
      </c>
      <c r="F425" s="71" t="n">
        <f aca="false">E425+F413-(F420-F419)</f>
        <v>0</v>
      </c>
      <c r="G425" s="71" t="n">
        <f aca="false">F425+G413-(G420-G419)</f>
        <v>0</v>
      </c>
      <c r="H425" s="71" t="n">
        <f aca="false">G425+H413-(H420-H419)</f>
        <v>0</v>
      </c>
      <c r="I425" s="71" t="n">
        <f aca="false">H425+I413-(I420-I419)</f>
        <v>0</v>
      </c>
      <c r="J425" s="71" t="n">
        <f aca="false">I425+J413-(J420-J419)</f>
        <v>0</v>
      </c>
      <c r="K425" s="71" t="n">
        <f aca="false">J425+K413-(K420-K419)</f>
        <v>0</v>
      </c>
      <c r="L425" s="71" t="n">
        <f aca="false">K425+L413-(L420-L419)</f>
        <v>0</v>
      </c>
      <c r="M425" s="71" t="n">
        <f aca="false">L425+M413-(M420-M419)</f>
        <v>0</v>
      </c>
      <c r="N425" s="71" t="n">
        <f aca="false">M425+N413-(N420-N419)</f>
        <v>0</v>
      </c>
      <c r="O425" s="71" t="n">
        <f aca="false">N425+O413-(O420-O419)</f>
        <v>-18074.0740740741</v>
      </c>
      <c r="P425" s="71" t="n">
        <f aca="false">O425+P413-(P420-P419)</f>
        <v>-3259.25925925926</v>
      </c>
      <c r="Q425" s="71" t="n">
        <f aca="false">P425+Q413-(Q420-Q419)</f>
        <v>16000</v>
      </c>
      <c r="R425" s="71" t="n">
        <f aca="false">Q425+R413-(R420-R419)</f>
        <v>3259.25925925928</v>
      </c>
      <c r="S425" s="71" t="n">
        <f aca="false">R425+S413-(S420-S419)</f>
        <v>18074.0740740741</v>
      </c>
      <c r="T425" s="71" t="n">
        <f aca="false">S425+T413-(T420-T419)</f>
        <v>0</v>
      </c>
      <c r="U425" s="71" t="n">
        <f aca="false">T425+U413-(U420-U419)</f>
        <v>0</v>
      </c>
      <c r="V425" s="71" t="n">
        <f aca="false">U425+V413-(V420-V419)</f>
        <v>0</v>
      </c>
      <c r="W425" s="71" t="n">
        <f aca="false">V425+W413-(W420-W419)</f>
        <v>0</v>
      </c>
      <c r="X425" s="71" t="n">
        <f aca="false">W425+X413-(X420-X419)</f>
        <v>0</v>
      </c>
      <c r="Y425" s="71" t="n">
        <f aca="false">X425+Y413-(Y420-Y419)</f>
        <v>0</v>
      </c>
      <c r="Z425" s="71" t="n">
        <f aca="false">Y425+Z413-(Z420-Z419)</f>
        <v>0</v>
      </c>
      <c r="AA425" s="71" t="n">
        <f aca="false">Z425+AA413-(AA420-AA419)</f>
        <v>0</v>
      </c>
      <c r="AB425" s="71" t="n">
        <f aca="false">AA425+AB413-(AB420-AB419)</f>
        <v>0</v>
      </c>
    </row>
    <row r="426" customFormat="false" ht="15" hidden="false" customHeight="false" outlineLevel="0" collapsed="false">
      <c r="A426" s="28" t="s">
        <v>723</v>
      </c>
      <c r="B426" s="58"/>
      <c r="C426" s="59" t="n">
        <f aca="false">P426</f>
        <v>10348.3959986202</v>
      </c>
      <c r="D426" s="59" t="n">
        <f aca="false">AB426</f>
        <v>8731.45912383581</v>
      </c>
      <c r="E426" s="60" t="n">
        <f aca="false">E424/FX!E12</f>
        <v>0</v>
      </c>
      <c r="F426" s="60" t="n">
        <f aca="false">F424/FX!F12</f>
        <v>0</v>
      </c>
      <c r="G426" s="60" t="n">
        <f aca="false">G424/FX!G12</f>
        <v>0</v>
      </c>
      <c r="H426" s="60" t="n">
        <f aca="false">H424/FX!H12</f>
        <v>0</v>
      </c>
      <c r="I426" s="60" t="n">
        <f aca="false">I424/FX!I12</f>
        <v>0</v>
      </c>
      <c r="J426" s="60" t="n">
        <f aca="false">J424/FX!J12</f>
        <v>0</v>
      </c>
      <c r="K426" s="60" t="n">
        <f aca="false">K424/FX!K12</f>
        <v>0</v>
      </c>
      <c r="L426" s="60" t="n">
        <f aca="false">L424/FX!L12</f>
        <v>0</v>
      </c>
      <c r="M426" s="60" t="n">
        <f aca="false">M424/FX!M12</f>
        <v>0</v>
      </c>
      <c r="N426" s="60" t="n">
        <f aca="false">N424/FX!N12</f>
        <v>0</v>
      </c>
      <c r="O426" s="60" t="n">
        <f aca="false">O424/FX!O12</f>
        <v>20696.7919972404</v>
      </c>
      <c r="P426" s="60" t="n">
        <f aca="false">P424/FX!P12</f>
        <v>10348.3959986202</v>
      </c>
      <c r="Q426" s="60" t="n">
        <f aca="false">Q424/FX!Q12</f>
        <v>5820.97274922387</v>
      </c>
      <c r="R426" s="60" t="n">
        <f aca="false">R424/FX!R12</f>
        <v>36327.181786823</v>
      </c>
      <c r="S426" s="60" t="n">
        <f aca="false">S424/FX!S12</f>
        <v>22529.3204553294</v>
      </c>
      <c r="T426" s="60" t="n">
        <f aca="false">T424/FX!T12</f>
        <v>29428.2511210762</v>
      </c>
      <c r="U426" s="60" t="n">
        <f aca="false">U424/FX!U12</f>
        <v>19079.855122456</v>
      </c>
      <c r="V426" s="60" t="n">
        <f aca="false">V424/FX!V12</f>
        <v>8731.45912383581</v>
      </c>
      <c r="W426" s="60" t="n">
        <f aca="false">W424/FX!W12</f>
        <v>8731.45912383581</v>
      </c>
      <c r="X426" s="60" t="n">
        <f aca="false">X424/FX!X12</f>
        <v>8731.45912383581</v>
      </c>
      <c r="Y426" s="60" t="n">
        <f aca="false">Y424/FX!Y12</f>
        <v>8731.45912383581</v>
      </c>
      <c r="Z426" s="60" t="n">
        <f aca="false">Z424/FX!Z12</f>
        <v>8731.45912383581</v>
      </c>
      <c r="AA426" s="60" t="n">
        <f aca="false">AA424/FX!AA12</f>
        <v>8731.45912383581</v>
      </c>
      <c r="AB426" s="60" t="n">
        <f aca="false">AB424/FX!AB12</f>
        <v>8731.45912383581</v>
      </c>
    </row>
    <row r="427" customFormat="false" ht="15" hidden="false" customHeight="false" outlineLevel="0" collapsed="false">
      <c r="A427" s="28" t="s">
        <v>724</v>
      </c>
      <c r="B427" s="58"/>
      <c r="C427" s="66" t="n">
        <f aca="false">P427</f>
        <v>45.6</v>
      </c>
      <c r="D427" s="66" t="n">
        <f aca="false">AB427</f>
        <v>45.6</v>
      </c>
      <c r="E427" s="72" t="n">
        <f aca="false">IFERROR(E424/AVERAGE(E422:E422)*30.4,0)</f>
        <v>0</v>
      </c>
      <c r="F427" s="72" t="n">
        <f aca="false">IFERROR(F424/AVERAGE(E422:F422)*30.4,0)</f>
        <v>0</v>
      </c>
      <c r="G427" s="72" t="n">
        <f aca="false">IFERROR(G424/AVERAGE(E422:G422)*30.4,0)</f>
        <v>0</v>
      </c>
      <c r="H427" s="72" t="n">
        <f aca="false">IFERROR(H424/AVERAGE(F422:H422)*30.4,0)</f>
        <v>0</v>
      </c>
      <c r="I427" s="72" t="n">
        <f aca="false">IFERROR(I424/AVERAGE(G422:I422)*30.4,0)</f>
        <v>0</v>
      </c>
      <c r="J427" s="72" t="n">
        <f aca="false">IFERROR(J424/AVERAGE(H422:J422)*30.4,0)</f>
        <v>0</v>
      </c>
      <c r="K427" s="72" t="n">
        <f aca="false">IFERROR(K424/AVERAGE(I422:K422)*30.4,0)</f>
        <v>0</v>
      </c>
      <c r="L427" s="72" t="n">
        <f aca="false">IFERROR(L424/AVERAGE(J422:L422)*30.4,0)</f>
        <v>0</v>
      </c>
      <c r="M427" s="72" t="n">
        <f aca="false">IFERROR(M424/AVERAGE(K422:M422)*30.4,0)</f>
        <v>0</v>
      </c>
      <c r="N427" s="72" t="n">
        <f aca="false">IFERROR(N424/AVERAGE(L422:N422)*30.4,0)</f>
        <v>0</v>
      </c>
      <c r="O427" s="72" t="n">
        <f aca="false">IFERROR(O424/AVERAGE(M422:O422)*30.4,0)</f>
        <v>91.2</v>
      </c>
      <c r="P427" s="72" t="n">
        <f aca="false">IFERROR(P424/AVERAGE(N422:P422)*30.4,0)</f>
        <v>45.6</v>
      </c>
      <c r="Q427" s="72" t="n">
        <f aca="false">IFERROR(Q424/AVERAGE(O422:Q422)*30.4,0)</f>
        <v>20.019512195122</v>
      </c>
      <c r="R427" s="72" t="n">
        <f aca="false">IFERROR(R424/AVERAGE(P422:R422)*30.4,0)</f>
        <v>84.4351648351648</v>
      </c>
      <c r="S427" s="72" t="n">
        <f aca="false">IFERROR(S424/AVERAGE(Q422:S422)*30.4,0)</f>
        <v>45.6</v>
      </c>
      <c r="T427" s="72" t="n">
        <f aca="false">IFERROR(T424/AVERAGE(R422:T422)*30.4,0)</f>
        <v>40.815737704918</v>
      </c>
      <c r="U427" s="72" t="n">
        <f aca="false">IFERROR(U424/AVERAGE(S422:U422)*30.4,0)</f>
        <v>45.6</v>
      </c>
      <c r="V427" s="72" t="n">
        <f aca="false">IFERROR(V424/AVERAGE(T422:V422)*30.4,0)</f>
        <v>20.8677966101695</v>
      </c>
      <c r="W427" s="72" t="n">
        <f aca="false">IFERROR(W424/AVERAGE(U422:W422)*30.4,0)</f>
        <v>45.6</v>
      </c>
      <c r="X427" s="72" t="n">
        <f aca="false">IFERROR(X424/AVERAGE(V422:X422)*30.4,0)</f>
        <v>45.6</v>
      </c>
      <c r="Y427" s="72" t="n">
        <f aca="false">IFERROR(Y424/AVERAGE(W422:Y422)*30.4,0)</f>
        <v>45.6</v>
      </c>
      <c r="Z427" s="72" t="n">
        <f aca="false">IFERROR(Z424/AVERAGE(X422:Z422)*30.4,0)</f>
        <v>45.6</v>
      </c>
      <c r="AA427" s="72" t="n">
        <f aca="false">IFERROR(AA424/AVERAGE(Y422:AA422)*30.4,0)</f>
        <v>45.6</v>
      </c>
      <c r="AB427" s="72" t="n">
        <f aca="false">IFERROR(AB424/AVERAGE(Z422:AB422)*30.4,0)</f>
        <v>45.6</v>
      </c>
    </row>
    <row r="429" customFormat="false" ht="15" hidden="false" customHeight="false" outlineLevel="0" collapsed="false">
      <c r="A429" s="22" t="s">
        <v>752</v>
      </c>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row>
    <row r="430" customFormat="false" ht="15" hidden="false" customHeight="false" outlineLevel="0" collapsed="false">
      <c r="A430" s="28" t="s">
        <v>331</v>
      </c>
      <c r="B430" s="58" t="s">
        <v>49</v>
      </c>
      <c r="C430" s="59" t="n">
        <f aca="false">SUM(E430:P430)</f>
        <v>0</v>
      </c>
      <c r="D430" s="59" t="n">
        <f aca="false">SUM(Q430:AB430)</f>
        <v>49000</v>
      </c>
      <c r="E430" s="60" t="n">
        <f aca="false">Retainers!E150</f>
        <v>0</v>
      </c>
      <c r="F430" s="60" t="n">
        <f aca="false">Retainers!F150</f>
        <v>0</v>
      </c>
      <c r="G430" s="60" t="n">
        <f aca="false">Retainers!G150</f>
        <v>0</v>
      </c>
      <c r="H430" s="60" t="n">
        <f aca="false">Retainers!H150</f>
        <v>0</v>
      </c>
      <c r="I430" s="60" t="n">
        <f aca="false">Retainers!I150</f>
        <v>0</v>
      </c>
      <c r="J430" s="60" t="n">
        <f aca="false">Retainers!J150</f>
        <v>0</v>
      </c>
      <c r="K430" s="60" t="n">
        <f aca="false">Retainers!K150</f>
        <v>0</v>
      </c>
      <c r="L430" s="60" t="n">
        <f aca="false">Retainers!L150</f>
        <v>0</v>
      </c>
      <c r="M430" s="60" t="n">
        <f aca="false">Retainers!M150</f>
        <v>0</v>
      </c>
      <c r="N430" s="60" t="n">
        <f aca="false">Retainers!N150</f>
        <v>0</v>
      </c>
      <c r="O430" s="60" t="n">
        <f aca="false">Retainers!O150</f>
        <v>0</v>
      </c>
      <c r="P430" s="60" t="n">
        <f aca="false">Retainers!P150</f>
        <v>0</v>
      </c>
      <c r="Q430" s="60" t="n">
        <f aca="false">Retainers!Q150</f>
        <v>0</v>
      </c>
      <c r="R430" s="60" t="n">
        <f aca="false">Retainers!R150</f>
        <v>0</v>
      </c>
      <c r="S430" s="60" t="n">
        <f aca="false">Retainers!S150</f>
        <v>0</v>
      </c>
      <c r="T430" s="60" t="n">
        <f aca="false">Retainers!T150</f>
        <v>0</v>
      </c>
      <c r="U430" s="60" t="n">
        <f aca="false">Retainers!U150</f>
        <v>0</v>
      </c>
      <c r="V430" s="60" t="n">
        <f aca="false">Retainers!V150</f>
        <v>7000</v>
      </c>
      <c r="W430" s="60" t="n">
        <f aca="false">Retainers!W150</f>
        <v>7000</v>
      </c>
      <c r="X430" s="60" t="n">
        <f aca="false">Retainers!X150</f>
        <v>7000</v>
      </c>
      <c r="Y430" s="60" t="n">
        <f aca="false">Retainers!Y150</f>
        <v>7000</v>
      </c>
      <c r="Z430" s="60" t="n">
        <f aca="false">Retainers!Z150</f>
        <v>7000</v>
      </c>
      <c r="AA430" s="60" t="n">
        <f aca="false">Retainers!AA150</f>
        <v>7000</v>
      </c>
      <c r="AB430" s="60" t="n">
        <f aca="false">Retainers!AB150</f>
        <v>7000</v>
      </c>
    </row>
    <row r="431" customFormat="false" ht="15" hidden="false" customHeight="false" outlineLevel="0" collapsed="false">
      <c r="A431" s="28" t="s">
        <v>700</v>
      </c>
      <c r="B431" s="58" t="s">
        <v>51</v>
      </c>
      <c r="C431" s="59" t="n">
        <f aca="false">SUM(E431:P431)</f>
        <v>0</v>
      </c>
      <c r="D431" s="59" t="n">
        <f aca="false">SUM(Q431:AB431)</f>
        <v>96000</v>
      </c>
      <c r="E431" s="60" t="n">
        <f aca="false">Projects!E183</f>
        <v>0</v>
      </c>
      <c r="F431" s="60" t="n">
        <f aca="false">Projects!F183</f>
        <v>0</v>
      </c>
      <c r="G431" s="60" t="n">
        <f aca="false">Projects!G183</f>
        <v>0</v>
      </c>
      <c r="H431" s="60" t="n">
        <f aca="false">Projects!H183</f>
        <v>0</v>
      </c>
      <c r="I431" s="60" t="n">
        <f aca="false">Projects!I183</f>
        <v>0</v>
      </c>
      <c r="J431" s="60" t="n">
        <f aca="false">Projects!J183</f>
        <v>0</v>
      </c>
      <c r="K431" s="60" t="n">
        <f aca="false">Projects!K183</f>
        <v>0</v>
      </c>
      <c r="L431" s="60" t="n">
        <f aca="false">Projects!L183</f>
        <v>0</v>
      </c>
      <c r="M431" s="60" t="n">
        <f aca="false">Projects!M183</f>
        <v>0</v>
      </c>
      <c r="N431" s="60" t="n">
        <f aca="false">Projects!N183</f>
        <v>0</v>
      </c>
      <c r="O431" s="60" t="n">
        <f aca="false">Projects!O183</f>
        <v>0</v>
      </c>
      <c r="P431" s="60" t="n">
        <f aca="false">Projects!P183</f>
        <v>0</v>
      </c>
      <c r="Q431" s="60" t="n">
        <f aca="false">Projects!Q183</f>
        <v>0</v>
      </c>
      <c r="R431" s="60" t="n">
        <f aca="false">Projects!R183</f>
        <v>5317.78425655977</v>
      </c>
      <c r="S431" s="60" t="n">
        <f aca="false">Projects!S183</f>
        <v>13714.2857142857</v>
      </c>
      <c r="T431" s="60" t="n">
        <f aca="false">Projects!T183</f>
        <v>18752.1865889213</v>
      </c>
      <c r="U431" s="60" t="n">
        <f aca="false">Projects!U183</f>
        <v>20431.4868804665</v>
      </c>
      <c r="V431" s="60" t="n">
        <f aca="false">Projects!V183</f>
        <v>18752.1865889213</v>
      </c>
      <c r="W431" s="60" t="n">
        <f aca="false">Projects!W183</f>
        <v>13714.2857142857</v>
      </c>
      <c r="X431" s="60" t="n">
        <f aca="false">Projects!X183</f>
        <v>5317.78425655977</v>
      </c>
      <c r="Y431" s="60" t="n">
        <f aca="false">Projects!Y183</f>
        <v>0</v>
      </c>
      <c r="Z431" s="60" t="n">
        <f aca="false">Projects!Z183</f>
        <v>0</v>
      </c>
      <c r="AA431" s="60" t="n">
        <f aca="false">Projects!AA183</f>
        <v>0</v>
      </c>
      <c r="AB431" s="60" t="n">
        <f aca="false">Projects!AB183</f>
        <v>0</v>
      </c>
    </row>
    <row r="432" customFormat="false" ht="15" hidden="false" customHeight="false" outlineLevel="0" collapsed="false">
      <c r="A432" s="28" t="s">
        <v>333</v>
      </c>
      <c r="B432" s="58" t="s">
        <v>53</v>
      </c>
      <c r="C432" s="59" t="n">
        <f aca="false">SUM(E432:P432)</f>
        <v>0</v>
      </c>
      <c r="D432" s="59" t="n">
        <f aca="false">SUM(Q432:AB432)</f>
        <v>0</v>
      </c>
      <c r="E432" s="71" t="n">
        <f aca="false">0</f>
        <v>0</v>
      </c>
      <c r="F432" s="71" t="n">
        <f aca="false">0</f>
        <v>0</v>
      </c>
      <c r="G432" s="71" t="n">
        <f aca="false">0</f>
        <v>0</v>
      </c>
      <c r="H432" s="71" t="n">
        <f aca="false">0</f>
        <v>0</v>
      </c>
      <c r="I432" s="71" t="n">
        <f aca="false">0</f>
        <v>0</v>
      </c>
      <c r="J432" s="71" t="n">
        <f aca="false">0</f>
        <v>0</v>
      </c>
      <c r="K432" s="71" t="n">
        <f aca="false">0</f>
        <v>0</v>
      </c>
      <c r="L432" s="71" t="n">
        <f aca="false">0</f>
        <v>0</v>
      </c>
      <c r="M432" s="71" t="n">
        <f aca="false">0</f>
        <v>0</v>
      </c>
      <c r="N432" s="71" t="n">
        <f aca="false">0</f>
        <v>0</v>
      </c>
      <c r="O432" s="71" t="n">
        <f aca="false">0</f>
        <v>0</v>
      </c>
      <c r="P432" s="71" t="n">
        <f aca="false">0</f>
        <v>0</v>
      </c>
      <c r="Q432" s="71" t="n">
        <f aca="false">0</f>
        <v>0</v>
      </c>
      <c r="R432" s="71" t="n">
        <f aca="false">0</f>
        <v>0</v>
      </c>
      <c r="S432" s="71" t="n">
        <f aca="false">0</f>
        <v>0</v>
      </c>
      <c r="T432" s="71" t="n">
        <f aca="false">0</f>
        <v>0</v>
      </c>
      <c r="U432" s="71" t="n">
        <f aca="false">0</f>
        <v>0</v>
      </c>
      <c r="V432" s="71" t="n">
        <f aca="false">0</f>
        <v>0</v>
      </c>
      <c r="W432" s="71" t="n">
        <f aca="false">0</f>
        <v>0</v>
      </c>
      <c r="X432" s="71" t="n">
        <f aca="false">0</f>
        <v>0</v>
      </c>
      <c r="Y432" s="71" t="n">
        <f aca="false">0</f>
        <v>0</v>
      </c>
      <c r="Z432" s="71" t="n">
        <f aca="false">0</f>
        <v>0</v>
      </c>
      <c r="AA432" s="71" t="n">
        <f aca="false">0</f>
        <v>0</v>
      </c>
      <c r="AB432" s="71" t="n">
        <f aca="false">0</f>
        <v>0</v>
      </c>
    </row>
    <row r="433" customFormat="false" ht="15" hidden="false" customHeight="false" outlineLevel="0" collapsed="false">
      <c r="A433" s="28" t="s">
        <v>334</v>
      </c>
      <c r="B433" s="58" t="s">
        <v>53</v>
      </c>
      <c r="C433" s="59" t="n">
        <f aca="false">SUM(E433:P433)</f>
        <v>0</v>
      </c>
      <c r="D433" s="59" t="n">
        <f aca="false">SUM(Q433:AB433)</f>
        <v>0</v>
      </c>
      <c r="E433" s="71" t="n">
        <f aca="false">0</f>
        <v>0</v>
      </c>
      <c r="F433" s="71" t="n">
        <f aca="false">0</f>
        <v>0</v>
      </c>
      <c r="G433" s="71" t="n">
        <f aca="false">0</f>
        <v>0</v>
      </c>
      <c r="H433" s="71" t="n">
        <f aca="false">0</f>
        <v>0</v>
      </c>
      <c r="I433" s="71" t="n">
        <f aca="false">0</f>
        <v>0</v>
      </c>
      <c r="J433" s="71" t="n">
        <f aca="false">0</f>
        <v>0</v>
      </c>
      <c r="K433" s="71" t="n">
        <f aca="false">0</f>
        <v>0</v>
      </c>
      <c r="L433" s="71" t="n">
        <f aca="false">0</f>
        <v>0</v>
      </c>
      <c r="M433" s="71" t="n">
        <f aca="false">0</f>
        <v>0</v>
      </c>
      <c r="N433" s="71" t="n">
        <f aca="false">0</f>
        <v>0</v>
      </c>
      <c r="O433" s="71" t="n">
        <f aca="false">0</f>
        <v>0</v>
      </c>
      <c r="P433" s="71" t="n">
        <f aca="false">0</f>
        <v>0</v>
      </c>
      <c r="Q433" s="71" t="n">
        <f aca="false">0</f>
        <v>0</v>
      </c>
      <c r="R433" s="71" t="n">
        <f aca="false">0</f>
        <v>0</v>
      </c>
      <c r="S433" s="71" t="n">
        <f aca="false">0</f>
        <v>0</v>
      </c>
      <c r="T433" s="71" t="n">
        <f aca="false">0</f>
        <v>0</v>
      </c>
      <c r="U433" s="71" t="n">
        <f aca="false">0</f>
        <v>0</v>
      </c>
      <c r="V433" s="71" t="n">
        <f aca="false">0</f>
        <v>0</v>
      </c>
      <c r="W433" s="71" t="n">
        <f aca="false">0</f>
        <v>0</v>
      </c>
      <c r="X433" s="71" t="n">
        <f aca="false">0</f>
        <v>0</v>
      </c>
      <c r="Y433" s="71" t="n">
        <f aca="false">0</f>
        <v>0</v>
      </c>
      <c r="Z433" s="71" t="n">
        <f aca="false">0</f>
        <v>0</v>
      </c>
      <c r="AA433" s="71" t="n">
        <f aca="false">0</f>
        <v>0</v>
      </c>
      <c r="AB433" s="71" t="n">
        <f aca="false">0</f>
        <v>0</v>
      </c>
    </row>
    <row r="434" customFormat="false" ht="15" hidden="false" customHeight="false" outlineLevel="0" collapsed="false">
      <c r="A434" s="28" t="s">
        <v>701</v>
      </c>
      <c r="B434" s="58" t="s">
        <v>51</v>
      </c>
      <c r="C434" s="59" t="n">
        <f aca="false">SUM(E434:P434)</f>
        <v>0</v>
      </c>
      <c r="D434" s="59" t="n">
        <f aca="false">SUM(Q434:AB434)</f>
        <v>0</v>
      </c>
      <c r="E434" s="71" t="n">
        <f aca="false">0</f>
        <v>0</v>
      </c>
      <c r="F434" s="71" t="n">
        <f aca="false">0</f>
        <v>0</v>
      </c>
      <c r="G434" s="71" t="n">
        <f aca="false">0</f>
        <v>0</v>
      </c>
      <c r="H434" s="71" t="n">
        <f aca="false">0</f>
        <v>0</v>
      </c>
      <c r="I434" s="71" t="n">
        <f aca="false">0</f>
        <v>0</v>
      </c>
      <c r="J434" s="71" t="n">
        <f aca="false">0</f>
        <v>0</v>
      </c>
      <c r="K434" s="71" t="n">
        <f aca="false">0</f>
        <v>0</v>
      </c>
      <c r="L434" s="71" t="n">
        <f aca="false">0</f>
        <v>0</v>
      </c>
      <c r="M434" s="71" t="n">
        <f aca="false">0</f>
        <v>0</v>
      </c>
      <c r="N434" s="71" t="n">
        <f aca="false">0</f>
        <v>0</v>
      </c>
      <c r="O434" s="71" t="n">
        <f aca="false">0</f>
        <v>0</v>
      </c>
      <c r="P434" s="71" t="n">
        <f aca="false">0</f>
        <v>0</v>
      </c>
      <c r="Q434" s="71" t="n">
        <f aca="false">0</f>
        <v>0</v>
      </c>
      <c r="R434" s="71" t="n">
        <f aca="false">0</f>
        <v>0</v>
      </c>
      <c r="S434" s="71" t="n">
        <f aca="false">0</f>
        <v>0</v>
      </c>
      <c r="T434" s="71" t="n">
        <f aca="false">0</f>
        <v>0</v>
      </c>
      <c r="U434" s="71" t="n">
        <f aca="false">0</f>
        <v>0</v>
      </c>
      <c r="V434" s="71" t="n">
        <f aca="false">0</f>
        <v>0</v>
      </c>
      <c r="W434" s="71" t="n">
        <f aca="false">0</f>
        <v>0</v>
      </c>
      <c r="X434" s="71" t="n">
        <f aca="false">0</f>
        <v>0</v>
      </c>
      <c r="Y434" s="71" t="n">
        <f aca="false">0</f>
        <v>0</v>
      </c>
      <c r="Z434" s="71" t="n">
        <f aca="false">0</f>
        <v>0</v>
      </c>
      <c r="AA434" s="71" t="n">
        <f aca="false">0</f>
        <v>0</v>
      </c>
      <c r="AB434" s="71" t="n">
        <f aca="false">0</f>
        <v>0</v>
      </c>
    </row>
    <row r="435" customFormat="false" ht="15" hidden="false" customHeight="false" outlineLevel="0" collapsed="false">
      <c r="A435" s="68" t="s">
        <v>702</v>
      </c>
      <c r="B435" s="69"/>
      <c r="C435" s="70" t="n">
        <f aca="false">SUM(E435:P435)</f>
        <v>0</v>
      </c>
      <c r="D435" s="70" t="n">
        <f aca="false">SUM(Q435:AB435)</f>
        <v>145000</v>
      </c>
      <c r="E435" s="70" t="n">
        <f aca="false">SUM(E430:E434)</f>
        <v>0</v>
      </c>
      <c r="F435" s="70" t="n">
        <f aca="false">SUM(F430:F434)</f>
        <v>0</v>
      </c>
      <c r="G435" s="70" t="n">
        <f aca="false">SUM(G430:G434)</f>
        <v>0</v>
      </c>
      <c r="H435" s="70" t="n">
        <f aca="false">SUM(H430:H434)</f>
        <v>0</v>
      </c>
      <c r="I435" s="70" t="n">
        <f aca="false">SUM(I430:I434)</f>
        <v>0</v>
      </c>
      <c r="J435" s="70" t="n">
        <f aca="false">SUM(J430:J434)</f>
        <v>0</v>
      </c>
      <c r="K435" s="70" t="n">
        <f aca="false">SUM(K430:K434)</f>
        <v>0</v>
      </c>
      <c r="L435" s="70" t="n">
        <f aca="false">SUM(L430:L434)</f>
        <v>0</v>
      </c>
      <c r="M435" s="70" t="n">
        <f aca="false">SUM(M430:M434)</f>
        <v>0</v>
      </c>
      <c r="N435" s="70" t="n">
        <f aca="false">SUM(N430:N434)</f>
        <v>0</v>
      </c>
      <c r="O435" s="70" t="n">
        <f aca="false">SUM(O430:O434)</f>
        <v>0</v>
      </c>
      <c r="P435" s="70" t="n">
        <f aca="false">SUM(P430:P434)</f>
        <v>0</v>
      </c>
      <c r="Q435" s="70" t="n">
        <f aca="false">SUM(Q430:Q434)</f>
        <v>0</v>
      </c>
      <c r="R435" s="70" t="n">
        <f aca="false">SUM(R430:R434)</f>
        <v>5317.78425655977</v>
      </c>
      <c r="S435" s="70" t="n">
        <f aca="false">SUM(S430:S434)</f>
        <v>13714.2857142857</v>
      </c>
      <c r="T435" s="70" t="n">
        <f aca="false">SUM(T430:T434)</f>
        <v>18752.1865889213</v>
      </c>
      <c r="U435" s="70" t="n">
        <f aca="false">SUM(U430:U434)</f>
        <v>20431.4868804665</v>
      </c>
      <c r="V435" s="70" t="n">
        <f aca="false">SUM(V430:V434)</f>
        <v>25752.1865889213</v>
      </c>
      <c r="W435" s="70" t="n">
        <f aca="false">SUM(W430:W434)</f>
        <v>20714.2857142857</v>
      </c>
      <c r="X435" s="70" t="n">
        <f aca="false">SUM(X430:X434)</f>
        <v>12317.7842565598</v>
      </c>
      <c r="Y435" s="70" t="n">
        <f aca="false">SUM(Y430:Y434)</f>
        <v>7000</v>
      </c>
      <c r="Z435" s="70" t="n">
        <f aca="false">SUM(Z430:Z434)</f>
        <v>7000</v>
      </c>
      <c r="AA435" s="70" t="n">
        <f aca="false">SUM(AA430:AA434)</f>
        <v>7000</v>
      </c>
      <c r="AB435" s="70" t="n">
        <f aca="false">SUM(AB430:AB434)</f>
        <v>7000</v>
      </c>
    </row>
    <row r="436" customFormat="false" ht="15" hidden="false" customHeight="false" outlineLevel="0" collapsed="false">
      <c r="A436" s="28" t="s">
        <v>703</v>
      </c>
      <c r="B436" s="58"/>
      <c r="C436" s="59" t="n">
        <f aca="false">SUM(E436:P436)</f>
        <v>0</v>
      </c>
      <c r="D436" s="59" t="n">
        <f aca="false">SUM(Q436:AB436)</f>
        <v>169297.590136372</v>
      </c>
      <c r="E436" s="60" t="n">
        <f aca="false">E435/FX!E9</f>
        <v>0</v>
      </c>
      <c r="F436" s="60" t="n">
        <f aca="false">F435/FX!F9</f>
        <v>0</v>
      </c>
      <c r="G436" s="60" t="n">
        <f aca="false">G435/FX!G9</f>
        <v>0</v>
      </c>
      <c r="H436" s="60" t="n">
        <f aca="false">H435/FX!H9</f>
        <v>0</v>
      </c>
      <c r="I436" s="60" t="n">
        <f aca="false">I435/FX!I9</f>
        <v>0</v>
      </c>
      <c r="J436" s="60" t="n">
        <f aca="false">J435/FX!J9</f>
        <v>0</v>
      </c>
      <c r="K436" s="60" t="n">
        <f aca="false">K435/FX!K9</f>
        <v>0</v>
      </c>
      <c r="L436" s="60" t="n">
        <f aca="false">L435/FX!L9</f>
        <v>0</v>
      </c>
      <c r="M436" s="60" t="n">
        <f aca="false">M435/FX!M9</f>
        <v>0</v>
      </c>
      <c r="N436" s="60" t="n">
        <f aca="false">N435/FX!N9</f>
        <v>0</v>
      </c>
      <c r="O436" s="60" t="n">
        <f aca="false">O435/FX!O9</f>
        <v>0</v>
      </c>
      <c r="P436" s="60" t="n">
        <f aca="false">P435/FX!P9</f>
        <v>0</v>
      </c>
      <c r="Q436" s="60" t="n">
        <f aca="false">Q435/FX!Q9</f>
        <v>0</v>
      </c>
      <c r="R436" s="60" t="n">
        <f aca="false">R435/FX!R9</f>
        <v>6208.8831689704</v>
      </c>
      <c r="S436" s="60" t="n">
        <f aca="false">S435/FX!S9</f>
        <v>16012.38290945</v>
      </c>
      <c r="T436" s="60" t="n">
        <f aca="false">T435/FX!T9</f>
        <v>21894.4827537377</v>
      </c>
      <c r="U436" s="60" t="n">
        <f aca="false">U435/FX!U9</f>
        <v>23855.1827018336</v>
      </c>
      <c r="V436" s="60" t="n">
        <f aca="false">V435/FX!V9</f>
        <v>30067.4698637695</v>
      </c>
      <c r="W436" s="60" t="n">
        <f aca="false">W435/FX!W9</f>
        <v>24185.3700194817</v>
      </c>
      <c r="X436" s="60" t="n">
        <f aca="false">X435/FX!X9</f>
        <v>14381.8702790022</v>
      </c>
      <c r="Y436" s="60" t="n">
        <f aca="false">Y435/FX!Y9</f>
        <v>8172.98711003176</v>
      </c>
      <c r="Z436" s="60" t="n">
        <f aca="false">Z435/FX!Z9</f>
        <v>8172.98711003176</v>
      </c>
      <c r="AA436" s="60" t="n">
        <f aca="false">AA435/FX!AA9</f>
        <v>8172.98711003176</v>
      </c>
      <c r="AB436" s="60" t="n">
        <f aca="false">AB435/FX!AB9</f>
        <v>8172.98711003176</v>
      </c>
    </row>
    <row r="437" customFormat="false" ht="15" hidden="false" customHeight="false" outlineLevel="0" collapsed="false">
      <c r="A437" s="28" t="s">
        <v>704</v>
      </c>
      <c r="B437" s="58" t="s">
        <v>51</v>
      </c>
      <c r="C437" s="59" t="n">
        <f aca="false">SUM(E437:P437)</f>
        <v>0</v>
      </c>
      <c r="D437" s="59" t="n">
        <f aca="false">SUM(Q437:AB437)</f>
        <v>0</v>
      </c>
      <c r="E437" s="71" t="n">
        <f aca="false">0</f>
        <v>0</v>
      </c>
      <c r="F437" s="71" t="n">
        <f aca="false">0</f>
        <v>0</v>
      </c>
      <c r="G437" s="71" t="n">
        <f aca="false">0</f>
        <v>0</v>
      </c>
      <c r="H437" s="71" t="n">
        <f aca="false">0</f>
        <v>0</v>
      </c>
      <c r="I437" s="71" t="n">
        <f aca="false">0</f>
        <v>0</v>
      </c>
      <c r="J437" s="71" t="n">
        <f aca="false">0</f>
        <v>0</v>
      </c>
      <c r="K437" s="71" t="n">
        <f aca="false">0</f>
        <v>0</v>
      </c>
      <c r="L437" s="71" t="n">
        <f aca="false">0</f>
        <v>0</v>
      </c>
      <c r="M437" s="71" t="n">
        <f aca="false">0</f>
        <v>0</v>
      </c>
      <c r="N437" s="71" t="n">
        <f aca="false">0</f>
        <v>0</v>
      </c>
      <c r="O437" s="71" t="n">
        <f aca="false">0</f>
        <v>0</v>
      </c>
      <c r="P437" s="71" t="n">
        <f aca="false">0</f>
        <v>0</v>
      </c>
      <c r="Q437" s="71" t="n">
        <f aca="false">0</f>
        <v>0</v>
      </c>
      <c r="R437" s="71" t="n">
        <f aca="false">0</f>
        <v>0</v>
      </c>
      <c r="S437" s="71" t="n">
        <f aca="false">0</f>
        <v>0</v>
      </c>
      <c r="T437" s="71" t="n">
        <f aca="false">0</f>
        <v>0</v>
      </c>
      <c r="U437" s="71" t="n">
        <f aca="false">0</f>
        <v>0</v>
      </c>
      <c r="V437" s="71" t="n">
        <f aca="false">0</f>
        <v>0</v>
      </c>
      <c r="W437" s="71" t="n">
        <f aca="false">0</f>
        <v>0</v>
      </c>
      <c r="X437" s="71" t="n">
        <f aca="false">0</f>
        <v>0</v>
      </c>
      <c r="Y437" s="71" t="n">
        <f aca="false">0</f>
        <v>0</v>
      </c>
      <c r="Z437" s="71" t="n">
        <f aca="false">0</f>
        <v>0</v>
      </c>
      <c r="AA437" s="71" t="n">
        <f aca="false">0</f>
        <v>0</v>
      </c>
      <c r="AB437" s="71" t="n">
        <f aca="false">0</f>
        <v>0</v>
      </c>
    </row>
    <row r="438" customFormat="false" ht="15" hidden="false" customHeight="false" outlineLevel="0" collapsed="false">
      <c r="A438" s="68" t="s">
        <v>705</v>
      </c>
      <c r="B438" s="69" t="s">
        <v>706</v>
      </c>
      <c r="C438" s="70" t="n">
        <f aca="false">SUM(E438:P438)</f>
        <v>0</v>
      </c>
      <c r="D438" s="70" t="n">
        <f aca="false">SUM(Q438:AB438)</f>
        <v>169297.590136372</v>
      </c>
      <c r="E438" s="70" t="n">
        <f aca="false">E436-E437</f>
        <v>0</v>
      </c>
      <c r="F438" s="70" t="n">
        <f aca="false">F436-F437</f>
        <v>0</v>
      </c>
      <c r="G438" s="70" t="n">
        <f aca="false">G436-G437</f>
        <v>0</v>
      </c>
      <c r="H438" s="70" t="n">
        <f aca="false">H436-H437</f>
        <v>0</v>
      </c>
      <c r="I438" s="70" t="n">
        <f aca="false">I436-I437</f>
        <v>0</v>
      </c>
      <c r="J438" s="70" t="n">
        <f aca="false">J436-J437</f>
        <v>0</v>
      </c>
      <c r="K438" s="70" t="n">
        <f aca="false">K436-K437</f>
        <v>0</v>
      </c>
      <c r="L438" s="70" t="n">
        <f aca="false">L436-L437</f>
        <v>0</v>
      </c>
      <c r="M438" s="70" t="n">
        <f aca="false">M436-M437</f>
        <v>0</v>
      </c>
      <c r="N438" s="70" t="n">
        <f aca="false">N436-N437</f>
        <v>0</v>
      </c>
      <c r="O438" s="70" t="n">
        <f aca="false">O436-O437</f>
        <v>0</v>
      </c>
      <c r="P438" s="70" t="n">
        <f aca="false">P436-P437</f>
        <v>0</v>
      </c>
      <c r="Q438" s="70" t="n">
        <f aca="false">Q436-Q437</f>
        <v>0</v>
      </c>
      <c r="R438" s="70" t="n">
        <f aca="false">R436-R437</f>
        <v>6208.8831689704</v>
      </c>
      <c r="S438" s="70" t="n">
        <f aca="false">S436-S437</f>
        <v>16012.38290945</v>
      </c>
      <c r="T438" s="70" t="n">
        <f aca="false">T436-T437</f>
        <v>21894.4827537377</v>
      </c>
      <c r="U438" s="70" t="n">
        <f aca="false">U436-U437</f>
        <v>23855.1827018336</v>
      </c>
      <c r="V438" s="70" t="n">
        <f aca="false">V436-V437</f>
        <v>30067.4698637695</v>
      </c>
      <c r="W438" s="70" t="n">
        <f aca="false">W436-W437</f>
        <v>24185.3700194817</v>
      </c>
      <c r="X438" s="70" t="n">
        <f aca="false">X436-X437</f>
        <v>14381.8702790022</v>
      </c>
      <c r="Y438" s="70" t="n">
        <f aca="false">Y436-Y437</f>
        <v>8172.98711003176</v>
      </c>
      <c r="Z438" s="70" t="n">
        <f aca="false">Z436-Z437</f>
        <v>8172.98711003176</v>
      </c>
      <c r="AA438" s="70" t="n">
        <f aca="false">AA436-AA437</f>
        <v>8172.98711003176</v>
      </c>
      <c r="AB438" s="70" t="n">
        <f aca="false">AB436-AB437</f>
        <v>8172.98711003176</v>
      </c>
    </row>
    <row r="439" customFormat="false" ht="15" hidden="false" customHeight="false" outlineLevel="0" collapsed="false">
      <c r="A439" s="28" t="s">
        <v>707</v>
      </c>
      <c r="B439" s="58" t="s">
        <v>708</v>
      </c>
      <c r="C439" s="66" t="n">
        <f aca="false">SUM(E439:P439)</f>
        <v>0</v>
      </c>
      <c r="D439" s="66" t="n">
        <f aca="false">SUM(Q439:AB439)</f>
        <v>1485.95</v>
      </c>
      <c r="E439" s="67" t="n">
        <f aca="false">Retainers!E153+Projects!E177</f>
        <v>0</v>
      </c>
      <c r="F439" s="67" t="n">
        <f aca="false">Retainers!F153+Projects!F177</f>
        <v>0</v>
      </c>
      <c r="G439" s="67" t="n">
        <f aca="false">Retainers!G153+Projects!G177</f>
        <v>0</v>
      </c>
      <c r="H439" s="67" t="n">
        <f aca="false">Retainers!H153+Projects!H177</f>
        <v>0</v>
      </c>
      <c r="I439" s="67" t="n">
        <f aca="false">Retainers!I153+Projects!I177</f>
        <v>0</v>
      </c>
      <c r="J439" s="67" t="n">
        <f aca="false">Retainers!J153+Projects!J177</f>
        <v>0</v>
      </c>
      <c r="K439" s="67" t="n">
        <f aca="false">Retainers!K153+Projects!K177</f>
        <v>0</v>
      </c>
      <c r="L439" s="67" t="n">
        <f aca="false">Retainers!L153+Projects!L177</f>
        <v>0</v>
      </c>
      <c r="M439" s="67" t="n">
        <f aca="false">Retainers!M153+Projects!M177</f>
        <v>0</v>
      </c>
      <c r="N439" s="67" t="n">
        <f aca="false">Retainers!N153+Projects!N177</f>
        <v>0</v>
      </c>
      <c r="O439" s="67" t="n">
        <f aca="false">Retainers!O153+Projects!O177</f>
        <v>0</v>
      </c>
      <c r="P439" s="67" t="n">
        <f aca="false">Retainers!P153+Projects!P177</f>
        <v>0</v>
      </c>
      <c r="Q439" s="67" t="n">
        <f aca="false">Retainers!Q153+Projects!Q177</f>
        <v>0</v>
      </c>
      <c r="R439" s="67" t="n">
        <f aca="false">Retainers!R153+Projects!R177</f>
        <v>50.9620991253644</v>
      </c>
      <c r="S439" s="67" t="n">
        <f aca="false">Retainers!S153+Projects!S177</f>
        <v>131.428571428571</v>
      </c>
      <c r="T439" s="67" t="n">
        <f aca="false">Retainers!T153+Projects!T177</f>
        <v>179.708454810496</v>
      </c>
      <c r="U439" s="67" t="n">
        <f aca="false">Retainers!U153+Projects!U177</f>
        <v>195.801749271137</v>
      </c>
      <c r="V439" s="67" t="n">
        <f aca="false">Retainers!V153+Projects!V177</f>
        <v>260.558454810496</v>
      </c>
      <c r="W439" s="67" t="n">
        <f aca="false">Retainers!W153+Projects!W177</f>
        <v>212.278571428571</v>
      </c>
      <c r="X439" s="67" t="n">
        <f aca="false">Retainers!X153+Projects!X177</f>
        <v>131.812099125365</v>
      </c>
      <c r="Y439" s="67" t="n">
        <f aca="false">Retainers!Y153+Projects!Y177</f>
        <v>80.85</v>
      </c>
      <c r="Z439" s="67" t="n">
        <f aca="false">Retainers!Z153+Projects!Z177</f>
        <v>80.85</v>
      </c>
      <c r="AA439" s="67" t="n">
        <f aca="false">Retainers!AA153+Projects!AA177</f>
        <v>80.85</v>
      </c>
      <c r="AB439" s="67" t="n">
        <f aca="false">Retainers!AB153+Projects!AB177</f>
        <v>80.85</v>
      </c>
    </row>
    <row r="440" customFormat="false" ht="15" hidden="false" customHeight="false" outlineLevel="0" collapsed="false">
      <c r="A440" s="28" t="s">
        <v>709</v>
      </c>
      <c r="B440" s="58" t="s">
        <v>710</v>
      </c>
      <c r="C440" s="59" t="n">
        <f aca="false">SUM(E440:P440)</f>
        <v>0</v>
      </c>
      <c r="D440" s="59" t="n">
        <f aca="false">SUM(Q440:AB440)</f>
        <v>78388.7453667342</v>
      </c>
      <c r="E440" s="60" t="n">
        <f aca="false">Retainers!E153*Utilisation!E88+Projects!E177*Utilisation!E91</f>
        <v>0</v>
      </c>
      <c r="F440" s="60" t="n">
        <f aca="false">Retainers!F153*Utilisation!F88+Projects!F177*Utilisation!F91</f>
        <v>0</v>
      </c>
      <c r="G440" s="60" t="n">
        <f aca="false">Retainers!G153*Utilisation!G88+Projects!G177*Utilisation!G91</f>
        <v>0</v>
      </c>
      <c r="H440" s="60" t="n">
        <f aca="false">Retainers!H153*Utilisation!H88+Projects!H177*Utilisation!H91</f>
        <v>0</v>
      </c>
      <c r="I440" s="60" t="n">
        <f aca="false">Retainers!I153*Utilisation!I88+Projects!I177*Utilisation!I91</f>
        <v>0</v>
      </c>
      <c r="J440" s="60" t="n">
        <f aca="false">Retainers!J153*Utilisation!J88+Projects!J177*Utilisation!J91</f>
        <v>0</v>
      </c>
      <c r="K440" s="60" t="n">
        <f aca="false">Retainers!K153*Utilisation!K88+Projects!K177*Utilisation!K91</f>
        <v>0</v>
      </c>
      <c r="L440" s="60" t="n">
        <f aca="false">Retainers!L153*Utilisation!L88+Projects!L177*Utilisation!L91</f>
        <v>0</v>
      </c>
      <c r="M440" s="60" t="n">
        <f aca="false">Retainers!M153*Utilisation!M88+Projects!M177*Utilisation!M91</f>
        <v>0</v>
      </c>
      <c r="N440" s="60" t="n">
        <f aca="false">Retainers!N153*Utilisation!N88+Projects!N177*Utilisation!N91</f>
        <v>0</v>
      </c>
      <c r="O440" s="60" t="n">
        <f aca="false">Retainers!O153*Utilisation!O88+Projects!O177*Utilisation!O91</f>
        <v>0</v>
      </c>
      <c r="P440" s="60" t="n">
        <f aca="false">Retainers!P153*Utilisation!P88+Projects!P177*Utilisation!P91</f>
        <v>0</v>
      </c>
      <c r="Q440" s="60" t="n">
        <f aca="false">Retainers!Q153*Utilisation!Q88+Projects!Q177*Utilisation!Q91</f>
        <v>0</v>
      </c>
      <c r="R440" s="60" t="n">
        <f aca="false">Retainers!R153*Utilisation!R88+Projects!R177*Utilisation!R91</f>
        <v>2818.08569474112</v>
      </c>
      <c r="S440" s="60" t="n">
        <f aca="false">Retainers!S153*Utilisation!S88+Projects!S177*Utilisation!S91</f>
        <v>7267.69468643761</v>
      </c>
      <c r="T440" s="60" t="n">
        <f aca="false">Retainers!T153*Utilisation!T88+Projects!T177*Utilisation!T91</f>
        <v>9937.46008145551</v>
      </c>
      <c r="U440" s="60" t="n">
        <f aca="false">Retainers!U153*Utilisation!U88+Projects!U177*Utilisation!U91</f>
        <v>10827.3818797948</v>
      </c>
      <c r="V440" s="60" t="n">
        <f aca="false">Retainers!V153*Utilisation!V88+Projects!V177*Utilisation!V91</f>
        <v>13868.1575902656</v>
      </c>
      <c r="W440" s="60" t="n">
        <f aca="false">Retainers!W153*Utilisation!W88+Projects!W177*Utilisation!W91</f>
        <v>11198.3921952477</v>
      </c>
      <c r="X440" s="60" t="n">
        <f aca="false">Retainers!X153*Utilisation!X88+Projects!X177*Utilisation!X91</f>
        <v>6748.78320355125</v>
      </c>
      <c r="Y440" s="60" t="n">
        <f aca="false">Retainers!Y153*Utilisation!Y88+Projects!Y177*Utilisation!Y91</f>
        <v>3930.69750881013</v>
      </c>
      <c r="Z440" s="60" t="n">
        <f aca="false">Retainers!Z153*Utilisation!Z88+Projects!Z177*Utilisation!Z91</f>
        <v>3930.69750881013</v>
      </c>
      <c r="AA440" s="60" t="n">
        <f aca="false">Retainers!AA153*Utilisation!AA88+Projects!AA177*Utilisation!AA91</f>
        <v>3930.69750881013</v>
      </c>
      <c r="AB440" s="60" t="n">
        <f aca="false">Retainers!AB153*Utilisation!AB88+Projects!AB177*Utilisation!AB91</f>
        <v>3930.69750881013</v>
      </c>
    </row>
    <row r="441" customFormat="false" ht="15" hidden="false" customHeight="false" outlineLevel="0" collapsed="false">
      <c r="A441" s="28" t="s">
        <v>711</v>
      </c>
      <c r="B441" s="58" t="s">
        <v>53</v>
      </c>
      <c r="C441" s="59" t="n">
        <f aca="false">SUM(E441:P441)</f>
        <v>0</v>
      </c>
      <c r="D441" s="59" t="n">
        <f aca="false">SUM(Q441:AB441)</f>
        <v>0</v>
      </c>
      <c r="E441" s="71" t="n">
        <f aca="false">0</f>
        <v>0</v>
      </c>
      <c r="F441" s="71" t="n">
        <f aca="false">0</f>
        <v>0</v>
      </c>
      <c r="G441" s="71" t="n">
        <f aca="false">0</f>
        <v>0</v>
      </c>
      <c r="H441" s="71" t="n">
        <f aca="false">0</f>
        <v>0</v>
      </c>
      <c r="I441" s="71" t="n">
        <f aca="false">0</f>
        <v>0</v>
      </c>
      <c r="J441" s="71" t="n">
        <f aca="false">0</f>
        <v>0</v>
      </c>
      <c r="K441" s="71" t="n">
        <f aca="false">0</f>
        <v>0</v>
      </c>
      <c r="L441" s="71" t="n">
        <f aca="false">0</f>
        <v>0</v>
      </c>
      <c r="M441" s="71" t="n">
        <f aca="false">0</f>
        <v>0</v>
      </c>
      <c r="N441" s="71" t="n">
        <f aca="false">0</f>
        <v>0</v>
      </c>
      <c r="O441" s="71" t="n">
        <f aca="false">0</f>
        <v>0</v>
      </c>
      <c r="P441" s="71" t="n">
        <f aca="false">0</f>
        <v>0</v>
      </c>
      <c r="Q441" s="71" t="n">
        <f aca="false">0</f>
        <v>0</v>
      </c>
      <c r="R441" s="71" t="n">
        <f aca="false">0</f>
        <v>0</v>
      </c>
      <c r="S441" s="71" t="n">
        <f aca="false">0</f>
        <v>0</v>
      </c>
      <c r="T441" s="71" t="n">
        <f aca="false">0</f>
        <v>0</v>
      </c>
      <c r="U441" s="71" t="n">
        <f aca="false">0</f>
        <v>0</v>
      </c>
      <c r="V441" s="71" t="n">
        <f aca="false">0</f>
        <v>0</v>
      </c>
      <c r="W441" s="71" t="n">
        <f aca="false">0</f>
        <v>0</v>
      </c>
      <c r="X441" s="71" t="n">
        <f aca="false">0</f>
        <v>0</v>
      </c>
      <c r="Y441" s="71" t="n">
        <f aca="false">0</f>
        <v>0</v>
      </c>
      <c r="Z441" s="71" t="n">
        <f aca="false">0</f>
        <v>0</v>
      </c>
      <c r="AA441" s="71" t="n">
        <f aca="false">0</f>
        <v>0</v>
      </c>
      <c r="AB441" s="71" t="n">
        <f aca="false">0</f>
        <v>0</v>
      </c>
    </row>
    <row r="442" customFormat="false" ht="15" hidden="false" customHeight="false" outlineLevel="0" collapsed="false">
      <c r="A442" s="28" t="s">
        <v>712</v>
      </c>
      <c r="B442" s="58" t="s">
        <v>713</v>
      </c>
      <c r="C442" s="59" t="n">
        <f aca="false">SUM(E442:P442)</f>
        <v>0</v>
      </c>
      <c r="D442" s="59" t="n">
        <f aca="false">SUM(Q442:AB442)</f>
        <v>145000</v>
      </c>
      <c r="E442" s="60" t="n">
        <f aca="false">Retainers!E156+Projects!E185+E433+E441+E434</f>
        <v>0</v>
      </c>
      <c r="F442" s="60" t="n">
        <f aca="false">Retainers!F156+Projects!F185+F433+F441+F434</f>
        <v>0</v>
      </c>
      <c r="G442" s="60" t="n">
        <f aca="false">Retainers!G156+Projects!G185+G433+G441+G434</f>
        <v>0</v>
      </c>
      <c r="H442" s="60" t="n">
        <f aca="false">Retainers!H156+Projects!H185+H433+H441+H434</f>
        <v>0</v>
      </c>
      <c r="I442" s="60" t="n">
        <f aca="false">Retainers!I156+Projects!I185+I433+I441+I434</f>
        <v>0</v>
      </c>
      <c r="J442" s="60" t="n">
        <f aca="false">Retainers!J156+Projects!J185+J433+J441+J434</f>
        <v>0</v>
      </c>
      <c r="K442" s="60" t="n">
        <f aca="false">Retainers!K156+Projects!K185+K433+K441+K434</f>
        <v>0</v>
      </c>
      <c r="L442" s="60" t="n">
        <f aca="false">Retainers!L156+Projects!L185+L433+L441+L434</f>
        <v>0</v>
      </c>
      <c r="M442" s="60" t="n">
        <f aca="false">Retainers!M156+Projects!M185+M433+M441+M434</f>
        <v>0</v>
      </c>
      <c r="N442" s="60" t="n">
        <f aca="false">Retainers!N156+Projects!N185+N433+N441+N434</f>
        <v>0</v>
      </c>
      <c r="O442" s="60" t="n">
        <f aca="false">Retainers!O156+Projects!O185+O433+O441+O434</f>
        <v>0</v>
      </c>
      <c r="P442" s="60" t="n">
        <f aca="false">Retainers!P156+Projects!P185+P433+P441+P434</f>
        <v>0</v>
      </c>
      <c r="Q442" s="60" t="n">
        <f aca="false">Retainers!Q156+Projects!Q185+Q433+Q441+Q434</f>
        <v>0</v>
      </c>
      <c r="R442" s="60" t="n">
        <f aca="false">Retainers!R156+Projects!R185+R433+R441+R434</f>
        <v>28800</v>
      </c>
      <c r="S442" s="60" t="n">
        <f aca="false">Retainers!S156+Projects!S185+S433+S441+S434</f>
        <v>0</v>
      </c>
      <c r="T442" s="60" t="n">
        <f aca="false">Retainers!T156+Projects!T185+T433+T441+T434</f>
        <v>0</v>
      </c>
      <c r="U442" s="60" t="n">
        <f aca="false">Retainers!U156+Projects!U185+U433+U441+U434</f>
        <v>38400</v>
      </c>
      <c r="V442" s="60" t="n">
        <f aca="false">Retainers!V156+Projects!V185+V433+V441+V434</f>
        <v>7000</v>
      </c>
      <c r="W442" s="60" t="n">
        <f aca="false">Retainers!W156+Projects!W185+W433+W441+W434</f>
        <v>7000</v>
      </c>
      <c r="X442" s="60" t="n">
        <f aca="false">Retainers!X156+Projects!X185+X433+X441+X434</f>
        <v>35800</v>
      </c>
      <c r="Y442" s="60" t="n">
        <f aca="false">Retainers!Y156+Projects!Y185+Y433+Y441+Y434</f>
        <v>7000</v>
      </c>
      <c r="Z442" s="60" t="n">
        <f aca="false">Retainers!Z156+Projects!Z185+Z433+Z441+Z434</f>
        <v>7000</v>
      </c>
      <c r="AA442" s="60" t="n">
        <f aca="false">Retainers!AA156+Projects!AA185+AA433+AA441+AA434</f>
        <v>7000</v>
      </c>
      <c r="AB442" s="60" t="n">
        <f aca="false">Retainers!AB156+Projects!AB185+AB433+AB441+AB434</f>
        <v>7000</v>
      </c>
    </row>
    <row r="443" customFormat="false" ht="15" hidden="false" customHeight="false" outlineLevel="0" collapsed="false">
      <c r="A443" s="28" t="s">
        <v>714</v>
      </c>
      <c r="B443" s="58" t="s">
        <v>715</v>
      </c>
      <c r="C443" s="59" t="n">
        <f aca="false">SUM(E443:P443)</f>
        <v>0</v>
      </c>
      <c r="D443" s="59" t="n">
        <f aca="false">SUM(Q443:AB443)</f>
        <v>0</v>
      </c>
      <c r="E443" s="60" t="n">
        <f aca="false">E442*Client_Register!$F$26</f>
        <v>0</v>
      </c>
      <c r="F443" s="60" t="n">
        <f aca="false">F442*Client_Register!$F$26</f>
        <v>0</v>
      </c>
      <c r="G443" s="60" t="n">
        <f aca="false">G442*Client_Register!$F$26</f>
        <v>0</v>
      </c>
      <c r="H443" s="60" t="n">
        <f aca="false">H442*Client_Register!$F$26</f>
        <v>0</v>
      </c>
      <c r="I443" s="60" t="n">
        <f aca="false">I442*Client_Register!$F$26</f>
        <v>0</v>
      </c>
      <c r="J443" s="60" t="n">
        <f aca="false">J442*Client_Register!$F$26</f>
        <v>0</v>
      </c>
      <c r="K443" s="60" t="n">
        <f aca="false">K442*Client_Register!$F$26</f>
        <v>0</v>
      </c>
      <c r="L443" s="60" t="n">
        <f aca="false">L442*Client_Register!$F$26</f>
        <v>0</v>
      </c>
      <c r="M443" s="60" t="n">
        <f aca="false">M442*Client_Register!$F$26</f>
        <v>0</v>
      </c>
      <c r="N443" s="60" t="n">
        <f aca="false">N442*Client_Register!$F$26</f>
        <v>0</v>
      </c>
      <c r="O443" s="60" t="n">
        <f aca="false">O442*Client_Register!$F$26</f>
        <v>0</v>
      </c>
      <c r="P443" s="60" t="n">
        <f aca="false">P442*Client_Register!$F$26</f>
        <v>0</v>
      </c>
      <c r="Q443" s="60" t="n">
        <f aca="false">Q442*Client_Register!$F$26</f>
        <v>0</v>
      </c>
      <c r="R443" s="60" t="n">
        <f aca="false">R442*Client_Register!$F$26</f>
        <v>0</v>
      </c>
      <c r="S443" s="60" t="n">
        <f aca="false">S442*Client_Register!$F$26</f>
        <v>0</v>
      </c>
      <c r="T443" s="60" t="n">
        <f aca="false">T442*Client_Register!$F$26</f>
        <v>0</v>
      </c>
      <c r="U443" s="60" t="n">
        <f aca="false">U442*Client_Register!$F$26</f>
        <v>0</v>
      </c>
      <c r="V443" s="60" t="n">
        <f aca="false">V442*Client_Register!$F$26</f>
        <v>0</v>
      </c>
      <c r="W443" s="60" t="n">
        <f aca="false">W442*Client_Register!$F$26</f>
        <v>0</v>
      </c>
      <c r="X443" s="60" t="n">
        <f aca="false">X442*Client_Register!$F$26</f>
        <v>0</v>
      </c>
      <c r="Y443" s="60" t="n">
        <f aca="false">Y442*Client_Register!$F$26</f>
        <v>0</v>
      </c>
      <c r="Z443" s="60" t="n">
        <f aca="false">Z442*Client_Register!$F$26</f>
        <v>0</v>
      </c>
      <c r="AA443" s="60" t="n">
        <f aca="false">AA442*Client_Register!$F$26</f>
        <v>0</v>
      </c>
      <c r="AB443" s="60" t="n">
        <f aca="false">AB442*Client_Register!$F$26</f>
        <v>0</v>
      </c>
    </row>
    <row r="444" customFormat="false" ht="15" hidden="false" customHeight="false" outlineLevel="0" collapsed="false">
      <c r="A444" s="68" t="s">
        <v>716</v>
      </c>
      <c r="B444" s="69"/>
      <c r="C444" s="70" t="n">
        <f aca="false">SUM(E444:P444)</f>
        <v>0</v>
      </c>
      <c r="D444" s="70" t="n">
        <f aca="false">SUM(Q444:AB444)</f>
        <v>145000</v>
      </c>
      <c r="E444" s="70" t="n">
        <f aca="false">E442+E443</f>
        <v>0</v>
      </c>
      <c r="F444" s="70" t="n">
        <f aca="false">F442+F443</f>
        <v>0</v>
      </c>
      <c r="G444" s="70" t="n">
        <f aca="false">G442+G443</f>
        <v>0</v>
      </c>
      <c r="H444" s="70" t="n">
        <f aca="false">H442+H443</f>
        <v>0</v>
      </c>
      <c r="I444" s="70" t="n">
        <f aca="false">I442+I443</f>
        <v>0</v>
      </c>
      <c r="J444" s="70" t="n">
        <f aca="false">J442+J443</f>
        <v>0</v>
      </c>
      <c r="K444" s="70" t="n">
        <f aca="false">K442+K443</f>
        <v>0</v>
      </c>
      <c r="L444" s="70" t="n">
        <f aca="false">L442+L443</f>
        <v>0</v>
      </c>
      <c r="M444" s="70" t="n">
        <f aca="false">M442+M443</f>
        <v>0</v>
      </c>
      <c r="N444" s="70" t="n">
        <f aca="false">N442+N443</f>
        <v>0</v>
      </c>
      <c r="O444" s="70" t="n">
        <f aca="false">O442+O443</f>
        <v>0</v>
      </c>
      <c r="P444" s="70" t="n">
        <f aca="false">P442+P443</f>
        <v>0</v>
      </c>
      <c r="Q444" s="70" t="n">
        <f aca="false">Q442+Q443</f>
        <v>0</v>
      </c>
      <c r="R444" s="70" t="n">
        <f aca="false">R442+R443</f>
        <v>28800</v>
      </c>
      <c r="S444" s="70" t="n">
        <f aca="false">S442+S443</f>
        <v>0</v>
      </c>
      <c r="T444" s="70" t="n">
        <f aca="false">T442+T443</f>
        <v>0</v>
      </c>
      <c r="U444" s="70" t="n">
        <f aca="false">U442+U443</f>
        <v>38400</v>
      </c>
      <c r="V444" s="70" t="n">
        <f aca="false">V442+V443</f>
        <v>7000</v>
      </c>
      <c r="W444" s="70" t="n">
        <f aca="false">W442+W443</f>
        <v>7000</v>
      </c>
      <c r="X444" s="70" t="n">
        <f aca="false">X442+X443</f>
        <v>35800</v>
      </c>
      <c r="Y444" s="70" t="n">
        <f aca="false">Y442+Y443</f>
        <v>7000</v>
      </c>
      <c r="Z444" s="70" t="n">
        <f aca="false">Z442+Z443</f>
        <v>7000</v>
      </c>
      <c r="AA444" s="70" t="n">
        <f aca="false">AA442+AA443</f>
        <v>7000</v>
      </c>
      <c r="AB444" s="70" t="n">
        <f aca="false">AB442+AB443</f>
        <v>7000</v>
      </c>
    </row>
    <row r="445" customFormat="false" ht="15" hidden="false" customHeight="false" outlineLevel="0" collapsed="false">
      <c r="A445" s="28" t="s">
        <v>717</v>
      </c>
      <c r="B445" s="58" t="s">
        <v>718</v>
      </c>
      <c r="C445" s="59" t="n">
        <f aca="false">SUM(E445:P445)</f>
        <v>0</v>
      </c>
      <c r="D445" s="59" t="n">
        <f aca="false">SUM(Q445:AB445)</f>
        <v>134500</v>
      </c>
      <c r="E445" s="60" t="n">
        <f aca="false">IF(E$5="A",0,Client_Register!$T$26+E444-(E444*MIN(1,Client_Register!$J$26/30)+0*MIN(1,MAX(0,(Client_Register!$J$26-30)/30))+0*MIN(1,MAX(0,(Client_Register!$J$26-60)/30))))</f>
        <v>0</v>
      </c>
      <c r="F445" s="60" t="n">
        <f aca="false">IF(F$5="A",0,E446+F444-(F444*MIN(1,Client_Register!$J$26/30)+E444*MIN(1,MAX(0,(Client_Register!$J$26-30)/30))+0*MIN(1,MAX(0,(Client_Register!$J$26-60)/30))))</f>
        <v>0</v>
      </c>
      <c r="G445" s="60" t="n">
        <f aca="false">IF(G$5="A",0,F446+G444-(G444*MIN(1,Client_Register!$J$26/30)+F444*MIN(1,MAX(0,(Client_Register!$J$26-30)/30))+E444*MIN(1,MAX(0,(Client_Register!$J$26-60)/30))))</f>
        <v>0</v>
      </c>
      <c r="H445" s="60" t="n">
        <f aca="false">IF(H$5="A",0,G446+H444-(H444*MIN(1,Client_Register!$J$26/30)+G444*MIN(1,MAX(0,(Client_Register!$J$26-30)/30))+F444*MIN(1,MAX(0,(Client_Register!$J$26-60)/30))))</f>
        <v>0</v>
      </c>
      <c r="I445" s="60" t="n">
        <f aca="false">IF(I$5="A",0,H446+I444-(I444*MIN(1,Client_Register!$J$26/30)+H444*MIN(1,MAX(0,(Client_Register!$J$26-30)/30))+G444*MIN(1,MAX(0,(Client_Register!$J$26-60)/30))))</f>
        <v>0</v>
      </c>
      <c r="J445" s="60" t="n">
        <f aca="false">IF(J$5="A",0,I446+J444-(J444*MIN(1,Client_Register!$J$26/30)+I444*MIN(1,MAX(0,(Client_Register!$J$26-30)/30))+H444*MIN(1,MAX(0,(Client_Register!$J$26-60)/30))))</f>
        <v>0</v>
      </c>
      <c r="K445" s="60" t="n">
        <f aca="false">IF(K$5="A",0,J446+K444-(K444*MIN(1,Client_Register!$J$26/30)+J444*MIN(1,MAX(0,(Client_Register!$J$26-30)/30))+I444*MIN(1,MAX(0,(Client_Register!$J$26-60)/30))))</f>
        <v>0</v>
      </c>
      <c r="L445" s="60" t="n">
        <f aca="false">IF(L$5="A",0,K446+L444-(L444*MIN(1,Client_Register!$J$26/30)+K444*MIN(1,MAX(0,(Client_Register!$J$26-30)/30))+J444*MIN(1,MAX(0,(Client_Register!$J$26-60)/30))))</f>
        <v>0</v>
      </c>
      <c r="M445" s="60" t="n">
        <f aca="false">IF(M$5="A",0,L446+M444-(M444*MIN(1,Client_Register!$J$26/30)+L444*MIN(1,MAX(0,(Client_Register!$J$26-30)/30))+K444*MIN(1,MAX(0,(Client_Register!$J$26-60)/30))))</f>
        <v>0</v>
      </c>
      <c r="N445" s="60" t="n">
        <f aca="false">IF(N$5="A",0,M446+N444-(N444*MIN(1,Client_Register!$J$26/30)+M444*MIN(1,MAX(0,(Client_Register!$J$26-30)/30))+L444*MIN(1,MAX(0,(Client_Register!$J$26-60)/30))))</f>
        <v>0</v>
      </c>
      <c r="O445" s="60" t="n">
        <f aca="false">IF(O$5="A",0,N446+O444-(O444*MIN(1,Client_Register!$J$26/30)+N444*MIN(1,MAX(0,(Client_Register!$J$26-30)/30))+M444*MIN(1,MAX(0,(Client_Register!$J$26-60)/30))))</f>
        <v>0</v>
      </c>
      <c r="P445" s="60" t="n">
        <f aca="false">IF(P$5="A",0,O446+P444-(P444*MIN(1,Client_Register!$J$26/30)+O444*MIN(1,MAX(0,(Client_Register!$J$26-30)/30))+N444*MIN(1,MAX(0,(Client_Register!$J$26-60)/30))))</f>
        <v>0</v>
      </c>
      <c r="Q445" s="60" t="n">
        <f aca="false">IF(Q$5="A",0,P446+Q444-(Q444*MIN(1,Client_Register!$J$26/30)+P444*MIN(1,MAX(0,(Client_Register!$J$26-30)/30))+O444*MIN(1,MAX(0,(Client_Register!$J$26-60)/30))))</f>
        <v>0</v>
      </c>
      <c r="R445" s="60" t="n">
        <f aca="false">IF(R$5="A",0,Q446+R444-(R444*MIN(1,Client_Register!$J$26/30)+Q444*MIN(1,MAX(0,(Client_Register!$J$26-30)/30))+P444*MIN(1,MAX(0,(Client_Register!$J$26-60)/30))))</f>
        <v>0</v>
      </c>
      <c r="S445" s="60" t="n">
        <f aca="false">IF(S$5="A",0,R446+S444-(S444*MIN(1,Client_Register!$J$26/30)+R444*MIN(1,MAX(0,(Client_Register!$J$26-30)/30))+Q444*MIN(1,MAX(0,(Client_Register!$J$26-60)/30))))</f>
        <v>14400</v>
      </c>
      <c r="T445" s="60" t="n">
        <f aca="false">IF(T$5="A",0,S446+T444-(T444*MIN(1,Client_Register!$J$26/30)+S444*MIN(1,MAX(0,(Client_Register!$J$26-30)/30))+R444*MIN(1,MAX(0,(Client_Register!$J$26-60)/30))))</f>
        <v>14400</v>
      </c>
      <c r="U445" s="60" t="n">
        <f aca="false">IF(U$5="A",0,T446+U444-(U444*MIN(1,Client_Register!$J$26/30)+T444*MIN(1,MAX(0,(Client_Register!$J$26-30)/30))+S444*MIN(1,MAX(0,(Client_Register!$J$26-60)/30))))</f>
        <v>0</v>
      </c>
      <c r="V445" s="60" t="n">
        <f aca="false">IF(V$5="A",0,U446+V444-(V444*MIN(1,Client_Register!$J$26/30)+U444*MIN(1,MAX(0,(Client_Register!$J$26-30)/30))+T444*MIN(1,MAX(0,(Client_Register!$J$26-60)/30))))</f>
        <v>19200</v>
      </c>
      <c r="W445" s="60" t="n">
        <f aca="false">IF(W$5="A",0,V446+W444-(W444*MIN(1,Client_Register!$J$26/30)+V444*MIN(1,MAX(0,(Client_Register!$J$26-30)/30))+U444*MIN(1,MAX(0,(Client_Register!$J$26-60)/30))))</f>
        <v>22700</v>
      </c>
      <c r="X445" s="60" t="n">
        <f aca="false">IF(X$5="A",0,W446+X444-(X444*MIN(1,Client_Register!$J$26/30)+W444*MIN(1,MAX(0,(Client_Register!$J$26-30)/30))+V444*MIN(1,MAX(0,(Client_Register!$J$26-60)/30))))</f>
        <v>7000</v>
      </c>
      <c r="Y445" s="60" t="n">
        <f aca="false">IF(Y$5="A",0,X446+Y444-(Y444*MIN(1,Client_Register!$J$26/30)+X444*MIN(1,MAX(0,(Client_Register!$J$26-30)/30))+W444*MIN(1,MAX(0,(Client_Register!$J$26-60)/30))))</f>
        <v>21400</v>
      </c>
      <c r="Z445" s="60" t="n">
        <f aca="false">IF(Z$5="A",0,Y446+Z444-(Z444*MIN(1,Client_Register!$J$26/30)+Y444*MIN(1,MAX(0,(Client_Register!$J$26-30)/30))+X444*MIN(1,MAX(0,(Client_Register!$J$26-60)/30))))</f>
        <v>21400</v>
      </c>
      <c r="AA445" s="60" t="n">
        <f aca="false">IF(AA$5="A",0,Z446+AA444-(AA444*MIN(1,Client_Register!$J$26/30)+Z444*MIN(1,MAX(0,(Client_Register!$J$26-30)/30))+Y444*MIN(1,MAX(0,(Client_Register!$J$26-60)/30))))</f>
        <v>7000</v>
      </c>
      <c r="AB445" s="60" t="n">
        <f aca="false">IF(AB$5="A",0,AA446+AB444-(AB444*MIN(1,Client_Register!$J$26/30)+AA444*MIN(1,MAX(0,(Client_Register!$J$26-30)/30))+Z444*MIN(1,MAX(0,(Client_Register!$J$26-60)/30))))</f>
        <v>7000</v>
      </c>
    </row>
    <row r="446" customFormat="false" ht="15" hidden="false" customHeight="false" outlineLevel="0" collapsed="false">
      <c r="A446" s="68" t="s">
        <v>719</v>
      </c>
      <c r="B446" s="69" t="s">
        <v>720</v>
      </c>
      <c r="C446" s="70" t="n">
        <f aca="false">P446</f>
        <v>0</v>
      </c>
      <c r="D446" s="70" t="n">
        <f aca="false">AB446</f>
        <v>10500</v>
      </c>
      <c r="E446" s="74" t="n">
        <f aca="false">Client_Register!$T$26+E444-E445</f>
        <v>0</v>
      </c>
      <c r="F446" s="70" t="n">
        <f aca="false">E446+F444-F445</f>
        <v>0</v>
      </c>
      <c r="G446" s="70" t="n">
        <f aca="false">F446+G444-G445</f>
        <v>0</v>
      </c>
      <c r="H446" s="70" t="n">
        <f aca="false">G446+H444-H445</f>
        <v>0</v>
      </c>
      <c r="I446" s="70" t="n">
        <f aca="false">H446+I444-I445</f>
        <v>0</v>
      </c>
      <c r="J446" s="70" t="n">
        <f aca="false">I446+J444-J445</f>
        <v>0</v>
      </c>
      <c r="K446" s="70" t="n">
        <f aca="false">J446+K444-K445</f>
        <v>0</v>
      </c>
      <c r="L446" s="70" t="n">
        <f aca="false">K446+L444-L445</f>
        <v>0</v>
      </c>
      <c r="M446" s="70" t="n">
        <f aca="false">L446+M444-M445</f>
        <v>0</v>
      </c>
      <c r="N446" s="70" t="n">
        <f aca="false">M446+N444-N445</f>
        <v>0</v>
      </c>
      <c r="O446" s="70" t="n">
        <f aca="false">N446+O444-O445</f>
        <v>0</v>
      </c>
      <c r="P446" s="70" t="n">
        <f aca="false">O446+P444-P445</f>
        <v>0</v>
      </c>
      <c r="Q446" s="70" t="n">
        <f aca="false">P446+Q444-Q445</f>
        <v>0</v>
      </c>
      <c r="R446" s="70" t="n">
        <f aca="false">Q446+R444-R445</f>
        <v>28800</v>
      </c>
      <c r="S446" s="70" t="n">
        <f aca="false">R446+S444-S445</f>
        <v>14400</v>
      </c>
      <c r="T446" s="70" t="n">
        <f aca="false">S446+T444-T445</f>
        <v>0</v>
      </c>
      <c r="U446" s="70" t="n">
        <f aca="false">T446+U444-U445</f>
        <v>38400</v>
      </c>
      <c r="V446" s="70" t="n">
        <f aca="false">U446+V444-V445</f>
        <v>26200</v>
      </c>
      <c r="W446" s="70" t="n">
        <f aca="false">V446+W444-W445</f>
        <v>10500</v>
      </c>
      <c r="X446" s="70" t="n">
        <f aca="false">W446+X444-X445</f>
        <v>39300</v>
      </c>
      <c r="Y446" s="70" t="n">
        <f aca="false">X446+Y444-Y445</f>
        <v>24900</v>
      </c>
      <c r="Z446" s="70" t="n">
        <f aca="false">Y446+Z444-Z445</f>
        <v>10500</v>
      </c>
      <c r="AA446" s="70" t="n">
        <f aca="false">Z446+AA444-AA445</f>
        <v>10500</v>
      </c>
      <c r="AB446" s="70" t="n">
        <f aca="false">AA446+AB444-AB445</f>
        <v>10500</v>
      </c>
    </row>
    <row r="447" customFormat="false" ht="15" hidden="false" customHeight="false" outlineLevel="0" collapsed="false">
      <c r="A447" s="28" t="s">
        <v>721</v>
      </c>
      <c r="B447" s="58" t="s">
        <v>722</v>
      </c>
      <c r="C447" s="59" t="n">
        <f aca="false">P447</f>
        <v>0</v>
      </c>
      <c r="D447" s="59" t="n">
        <f aca="false">AB447</f>
        <v>0</v>
      </c>
      <c r="E447" s="60" t="n">
        <f aca="false">Client_Register!$U$26+E435-(E442-E441)</f>
        <v>0</v>
      </c>
      <c r="F447" s="71" t="n">
        <f aca="false">E447+F435-(F442-F441)</f>
        <v>0</v>
      </c>
      <c r="G447" s="71" t="n">
        <f aca="false">F447+G435-(G442-G441)</f>
        <v>0</v>
      </c>
      <c r="H447" s="71" t="n">
        <f aca="false">G447+H435-(H442-H441)</f>
        <v>0</v>
      </c>
      <c r="I447" s="71" t="n">
        <f aca="false">H447+I435-(I442-I441)</f>
        <v>0</v>
      </c>
      <c r="J447" s="71" t="n">
        <f aca="false">I447+J435-(J442-J441)</f>
        <v>0</v>
      </c>
      <c r="K447" s="71" t="n">
        <f aca="false">J447+K435-(K442-K441)</f>
        <v>0</v>
      </c>
      <c r="L447" s="71" t="n">
        <f aca="false">K447+L435-(L442-L441)</f>
        <v>0</v>
      </c>
      <c r="M447" s="71" t="n">
        <f aca="false">L447+M435-(M442-M441)</f>
        <v>0</v>
      </c>
      <c r="N447" s="71" t="n">
        <f aca="false">M447+N435-(N442-N441)</f>
        <v>0</v>
      </c>
      <c r="O447" s="71" t="n">
        <f aca="false">N447+O435-(O442-O441)</f>
        <v>0</v>
      </c>
      <c r="P447" s="71" t="n">
        <f aca="false">O447+P435-(P442-P441)</f>
        <v>0</v>
      </c>
      <c r="Q447" s="71" t="n">
        <f aca="false">P447+Q435-(Q442-Q441)</f>
        <v>0</v>
      </c>
      <c r="R447" s="71" t="n">
        <f aca="false">Q447+R435-(R442-R441)</f>
        <v>-23482.2157434402</v>
      </c>
      <c r="S447" s="71" t="n">
        <f aca="false">R447+S435-(S442-S441)</f>
        <v>-9767.93002915452</v>
      </c>
      <c r="T447" s="71" t="n">
        <f aca="false">S447+T435-(T442-T441)</f>
        <v>8984.25655976676</v>
      </c>
      <c r="U447" s="71" t="n">
        <f aca="false">T447+U435-(U442-U441)</f>
        <v>-8984.25655976677</v>
      </c>
      <c r="V447" s="71" t="n">
        <f aca="false">U447+V435-(V442-V441)</f>
        <v>9767.93002915452</v>
      </c>
      <c r="W447" s="71" t="n">
        <f aca="false">V447+W435-(W442-W441)</f>
        <v>23482.2157434402</v>
      </c>
      <c r="X447" s="71" t="n">
        <f aca="false">W447+X435-(X442-X441)</f>
        <v>0</v>
      </c>
      <c r="Y447" s="71" t="n">
        <f aca="false">X447+Y435-(Y442-Y441)</f>
        <v>0</v>
      </c>
      <c r="Z447" s="71" t="n">
        <f aca="false">Y447+Z435-(Z442-Z441)</f>
        <v>0</v>
      </c>
      <c r="AA447" s="71" t="n">
        <f aca="false">Z447+AA435-(AA442-AA441)</f>
        <v>0</v>
      </c>
      <c r="AB447" s="71" t="n">
        <f aca="false">AA447+AB435-(AB442-AB441)</f>
        <v>0</v>
      </c>
    </row>
    <row r="448" customFormat="false" ht="15" hidden="false" customHeight="false" outlineLevel="0" collapsed="false">
      <c r="A448" s="28" t="s">
        <v>723</v>
      </c>
      <c r="B448" s="58"/>
      <c r="C448" s="59" t="n">
        <f aca="false">P448</f>
        <v>0</v>
      </c>
      <c r="D448" s="59" t="n">
        <f aca="false">AB448</f>
        <v>12259.4806650476</v>
      </c>
      <c r="E448" s="60" t="n">
        <f aca="false">E446/FX!E10</f>
        <v>0</v>
      </c>
      <c r="F448" s="60" t="n">
        <f aca="false">F446/FX!F10</f>
        <v>0</v>
      </c>
      <c r="G448" s="60" t="n">
        <f aca="false">G446/FX!G10</f>
        <v>0</v>
      </c>
      <c r="H448" s="60" t="n">
        <f aca="false">H446/FX!H10</f>
        <v>0</v>
      </c>
      <c r="I448" s="60" t="n">
        <f aca="false">I446/FX!I10</f>
        <v>0</v>
      </c>
      <c r="J448" s="60" t="n">
        <f aca="false">J446/FX!J10</f>
        <v>0</v>
      </c>
      <c r="K448" s="60" t="n">
        <f aca="false">K446/FX!K10</f>
        <v>0</v>
      </c>
      <c r="L448" s="60" t="n">
        <f aca="false">L446/FX!L10</f>
        <v>0</v>
      </c>
      <c r="M448" s="60" t="n">
        <f aca="false">M446/FX!M10</f>
        <v>0</v>
      </c>
      <c r="N448" s="60" t="n">
        <f aca="false">N446/FX!N10</f>
        <v>0</v>
      </c>
      <c r="O448" s="60" t="n">
        <f aca="false">O446/FX!O10</f>
        <v>0</v>
      </c>
      <c r="P448" s="60" t="n">
        <f aca="false">P446/FX!P10</f>
        <v>0</v>
      </c>
      <c r="Q448" s="60" t="n">
        <f aca="false">Q446/FX!Q10</f>
        <v>0</v>
      </c>
      <c r="R448" s="60" t="n">
        <f aca="false">R446/FX!R10</f>
        <v>33626.0041098449</v>
      </c>
      <c r="S448" s="60" t="n">
        <f aca="false">S446/FX!S10</f>
        <v>16813.0020549225</v>
      </c>
      <c r="T448" s="60" t="n">
        <f aca="false">T446/FX!T10</f>
        <v>0</v>
      </c>
      <c r="U448" s="60" t="n">
        <f aca="false">U446/FX!U10</f>
        <v>44834.6721464599</v>
      </c>
      <c r="V448" s="60" t="n">
        <f aca="false">V446/FX!V10</f>
        <v>30590.3231832617</v>
      </c>
      <c r="W448" s="60" t="n">
        <f aca="false">W446/FX!W10</f>
        <v>12259.4806650476</v>
      </c>
      <c r="X448" s="60" t="n">
        <f aca="false">X446/FX!X10</f>
        <v>45885.4847748926</v>
      </c>
      <c r="Y448" s="60" t="n">
        <f aca="false">Y446/FX!Y10</f>
        <v>29072.4827199701</v>
      </c>
      <c r="Z448" s="60" t="n">
        <f aca="false">Z446/FX!Z10</f>
        <v>12259.4806650476</v>
      </c>
      <c r="AA448" s="60" t="n">
        <f aca="false">AA446/FX!AA10</f>
        <v>12259.4806650476</v>
      </c>
      <c r="AB448" s="60" t="n">
        <f aca="false">AB446/FX!AB10</f>
        <v>12259.4806650476</v>
      </c>
    </row>
    <row r="449" customFormat="false" ht="15" hidden="false" customHeight="false" outlineLevel="0" collapsed="false">
      <c r="A449" s="28" t="s">
        <v>724</v>
      </c>
      <c r="B449" s="58"/>
      <c r="C449" s="66" t="n">
        <f aca="false">P449</f>
        <v>0</v>
      </c>
      <c r="D449" s="66" t="n">
        <f aca="false">AB449</f>
        <v>45.6</v>
      </c>
      <c r="E449" s="72" t="n">
        <f aca="false">IFERROR(E446/AVERAGE(E444:E444)*30.4,0)</f>
        <v>0</v>
      </c>
      <c r="F449" s="72" t="n">
        <f aca="false">IFERROR(F446/AVERAGE(E444:F444)*30.4,0)</f>
        <v>0</v>
      </c>
      <c r="G449" s="72" t="n">
        <f aca="false">IFERROR(G446/AVERAGE(E444:G444)*30.4,0)</f>
        <v>0</v>
      </c>
      <c r="H449" s="72" t="n">
        <f aca="false">IFERROR(H446/AVERAGE(F444:H444)*30.4,0)</f>
        <v>0</v>
      </c>
      <c r="I449" s="72" t="n">
        <f aca="false">IFERROR(I446/AVERAGE(G444:I444)*30.4,0)</f>
        <v>0</v>
      </c>
      <c r="J449" s="72" t="n">
        <f aca="false">IFERROR(J446/AVERAGE(H444:J444)*30.4,0)</f>
        <v>0</v>
      </c>
      <c r="K449" s="72" t="n">
        <f aca="false">IFERROR(K446/AVERAGE(I444:K444)*30.4,0)</f>
        <v>0</v>
      </c>
      <c r="L449" s="72" t="n">
        <f aca="false">IFERROR(L446/AVERAGE(J444:L444)*30.4,0)</f>
        <v>0</v>
      </c>
      <c r="M449" s="72" t="n">
        <f aca="false">IFERROR(M446/AVERAGE(K444:M444)*30.4,0)</f>
        <v>0</v>
      </c>
      <c r="N449" s="72" t="n">
        <f aca="false">IFERROR(N446/AVERAGE(L444:N444)*30.4,0)</f>
        <v>0</v>
      </c>
      <c r="O449" s="72" t="n">
        <f aca="false">IFERROR(O446/AVERAGE(M444:O444)*30.4,0)</f>
        <v>0</v>
      </c>
      <c r="P449" s="72" t="n">
        <f aca="false">IFERROR(P446/AVERAGE(N444:P444)*30.4,0)</f>
        <v>0</v>
      </c>
      <c r="Q449" s="72" t="n">
        <f aca="false">IFERROR(Q446/AVERAGE(O444:Q444)*30.4,0)</f>
        <v>0</v>
      </c>
      <c r="R449" s="72" t="n">
        <f aca="false">IFERROR(R446/AVERAGE(P444:R444)*30.4,0)</f>
        <v>91.2</v>
      </c>
      <c r="S449" s="72" t="n">
        <f aca="false">IFERROR(S446/AVERAGE(Q444:S444)*30.4,0)</f>
        <v>45.6</v>
      </c>
      <c r="T449" s="72" t="n">
        <f aca="false">IFERROR(T446/AVERAGE(R444:T444)*30.4,0)</f>
        <v>0</v>
      </c>
      <c r="U449" s="72" t="n">
        <f aca="false">IFERROR(U446/AVERAGE(S444:U444)*30.4,0)</f>
        <v>91.2</v>
      </c>
      <c r="V449" s="72" t="n">
        <f aca="false">IFERROR(V446/AVERAGE(T444:V444)*30.4,0)</f>
        <v>52.6308370044053</v>
      </c>
      <c r="W449" s="72" t="n">
        <f aca="false">IFERROR(W446/AVERAGE(U444:W444)*30.4,0)</f>
        <v>18.2748091603053</v>
      </c>
      <c r="X449" s="72" t="n">
        <f aca="false">IFERROR(X446/AVERAGE(V444:X444)*30.4,0)</f>
        <v>71.9710843373494</v>
      </c>
      <c r="Y449" s="72" t="n">
        <f aca="false">IFERROR(Y446/AVERAGE(W444:Y444)*30.4,0)</f>
        <v>45.6</v>
      </c>
      <c r="Z449" s="72" t="n">
        <f aca="false">IFERROR(Z446/AVERAGE(X444:Z444)*30.4,0)</f>
        <v>19.2289156626506</v>
      </c>
      <c r="AA449" s="72" t="n">
        <f aca="false">IFERROR(AA446/AVERAGE(Y444:AA444)*30.4,0)</f>
        <v>45.6</v>
      </c>
      <c r="AB449" s="72" t="n">
        <f aca="false">IFERROR(AB446/AVERAGE(Z444:AB444)*30.4,0)</f>
        <v>45.6</v>
      </c>
    </row>
    <row r="451" customFormat="false" ht="15" hidden="false" customHeight="false" outlineLevel="0" collapsed="false">
      <c r="A451" s="22" t="s">
        <v>753</v>
      </c>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row>
    <row r="452" customFormat="false" ht="15" hidden="false" customHeight="false" outlineLevel="0" collapsed="false">
      <c r="A452" s="28" t="s">
        <v>331</v>
      </c>
      <c r="B452" s="58" t="s">
        <v>49</v>
      </c>
      <c r="C452" s="59" t="n">
        <f aca="false">SUM(E452:P452)</f>
        <v>0</v>
      </c>
      <c r="D452" s="59" t="n">
        <f aca="false">SUM(Q452:AB452)</f>
        <v>39600</v>
      </c>
      <c r="E452" s="60" t="n">
        <f aca="false">Retainers!E140</f>
        <v>0</v>
      </c>
      <c r="F452" s="60" t="n">
        <f aca="false">Retainers!F140</f>
        <v>0</v>
      </c>
      <c r="G452" s="60" t="n">
        <f aca="false">Retainers!G140</f>
        <v>0</v>
      </c>
      <c r="H452" s="60" t="n">
        <f aca="false">Retainers!H140</f>
        <v>0</v>
      </c>
      <c r="I452" s="60" t="n">
        <f aca="false">Retainers!I140</f>
        <v>0</v>
      </c>
      <c r="J452" s="60" t="n">
        <f aca="false">Retainers!J140</f>
        <v>0</v>
      </c>
      <c r="K452" s="60" t="n">
        <f aca="false">Retainers!K140</f>
        <v>0</v>
      </c>
      <c r="L452" s="60" t="n">
        <f aca="false">Retainers!L140</f>
        <v>0</v>
      </c>
      <c r="M452" s="60" t="n">
        <f aca="false">Retainers!M140</f>
        <v>0</v>
      </c>
      <c r="N452" s="60" t="n">
        <f aca="false">Retainers!N140</f>
        <v>0</v>
      </c>
      <c r="O452" s="60" t="n">
        <f aca="false">Retainers!O140</f>
        <v>0</v>
      </c>
      <c r="P452" s="60" t="n">
        <f aca="false">Retainers!P140</f>
        <v>0</v>
      </c>
      <c r="Q452" s="60" t="n">
        <f aca="false">Retainers!Q140</f>
        <v>0</v>
      </c>
      <c r="R452" s="60" t="n">
        <f aca="false">Retainers!R140</f>
        <v>0</v>
      </c>
      <c r="S452" s="60" t="n">
        <f aca="false">Retainers!S140</f>
        <v>0</v>
      </c>
      <c r="T452" s="60" t="n">
        <f aca="false">Retainers!T140</f>
        <v>4400</v>
      </c>
      <c r="U452" s="60" t="n">
        <f aca="false">Retainers!U140</f>
        <v>4400</v>
      </c>
      <c r="V452" s="60" t="n">
        <f aca="false">Retainers!V140</f>
        <v>4400</v>
      </c>
      <c r="W452" s="60" t="n">
        <f aca="false">Retainers!W140</f>
        <v>4400</v>
      </c>
      <c r="X452" s="60" t="n">
        <f aca="false">Retainers!X140</f>
        <v>4400</v>
      </c>
      <c r="Y452" s="60" t="n">
        <f aca="false">Retainers!Y140</f>
        <v>4400</v>
      </c>
      <c r="Z452" s="60" t="n">
        <f aca="false">Retainers!Z140</f>
        <v>4400</v>
      </c>
      <c r="AA452" s="60" t="n">
        <f aca="false">Retainers!AA140</f>
        <v>4400</v>
      </c>
      <c r="AB452" s="60" t="n">
        <f aca="false">Retainers!AB140</f>
        <v>4400</v>
      </c>
    </row>
    <row r="453" customFormat="false" ht="15" hidden="false" customHeight="false" outlineLevel="0" collapsed="false">
      <c r="A453" s="28" t="s">
        <v>700</v>
      </c>
      <c r="B453" s="58" t="s">
        <v>51</v>
      </c>
      <c r="C453" s="59" t="n">
        <f aca="false">SUM(E453:P453)</f>
        <v>0</v>
      </c>
      <c r="D453" s="59" t="n">
        <f aca="false">SUM(Q453:AB453)</f>
        <v>38500</v>
      </c>
      <c r="E453" s="60" t="n">
        <f aca="false">Projects!E234</f>
        <v>0</v>
      </c>
      <c r="F453" s="60" t="n">
        <f aca="false">Projects!F234</f>
        <v>0</v>
      </c>
      <c r="G453" s="60" t="n">
        <f aca="false">Projects!G234</f>
        <v>0</v>
      </c>
      <c r="H453" s="60" t="n">
        <f aca="false">Projects!H234</f>
        <v>0</v>
      </c>
      <c r="I453" s="60" t="n">
        <f aca="false">Projects!I234</f>
        <v>0</v>
      </c>
      <c r="J453" s="60" t="n">
        <f aca="false">Projects!J234</f>
        <v>0</v>
      </c>
      <c r="K453" s="60" t="n">
        <f aca="false">Projects!K234</f>
        <v>0</v>
      </c>
      <c r="L453" s="60" t="n">
        <f aca="false">Projects!L234</f>
        <v>0</v>
      </c>
      <c r="M453" s="60" t="n">
        <f aca="false">Projects!M234</f>
        <v>0</v>
      </c>
      <c r="N453" s="60" t="n">
        <f aca="false">Projects!N234</f>
        <v>0</v>
      </c>
      <c r="O453" s="60" t="n">
        <f aca="false">Projects!O234</f>
        <v>0</v>
      </c>
      <c r="P453" s="60" t="n">
        <f aca="false">Projects!P234</f>
        <v>0</v>
      </c>
      <c r="Q453" s="60" t="n">
        <f aca="false">Projects!Q234</f>
        <v>0</v>
      </c>
      <c r="R453" s="60" t="n">
        <f aca="false">Projects!R234</f>
        <v>0</v>
      </c>
      <c r="S453" s="60" t="n">
        <f aca="false">Projects!S234</f>
        <v>2851.85185185185</v>
      </c>
      <c r="T453" s="60" t="n">
        <f aca="false">Projects!T234</f>
        <v>7129.62962962963</v>
      </c>
      <c r="U453" s="60" t="n">
        <f aca="false">Projects!U234</f>
        <v>9268.51851851852</v>
      </c>
      <c r="V453" s="60" t="n">
        <f aca="false">Projects!V234</f>
        <v>9268.51851851852</v>
      </c>
      <c r="W453" s="60" t="n">
        <f aca="false">Projects!W234</f>
        <v>7129.62962962962</v>
      </c>
      <c r="X453" s="60" t="n">
        <f aca="false">Projects!X234</f>
        <v>2851.85185185185</v>
      </c>
      <c r="Y453" s="60" t="n">
        <f aca="false">Projects!Y234</f>
        <v>0</v>
      </c>
      <c r="Z453" s="60" t="n">
        <f aca="false">Projects!Z234</f>
        <v>0</v>
      </c>
      <c r="AA453" s="60" t="n">
        <f aca="false">Projects!AA234</f>
        <v>0</v>
      </c>
      <c r="AB453" s="60" t="n">
        <f aca="false">Projects!AB234</f>
        <v>0</v>
      </c>
    </row>
    <row r="454" customFormat="false" ht="15" hidden="false" customHeight="false" outlineLevel="0" collapsed="false">
      <c r="A454" s="28" t="s">
        <v>333</v>
      </c>
      <c r="B454" s="58" t="s">
        <v>53</v>
      </c>
      <c r="C454" s="59" t="n">
        <f aca="false">SUM(E454:P454)</f>
        <v>0</v>
      </c>
      <c r="D454" s="59" t="n">
        <f aca="false">SUM(Q454:AB454)</f>
        <v>0</v>
      </c>
      <c r="E454" s="71" t="n">
        <f aca="false">0</f>
        <v>0</v>
      </c>
      <c r="F454" s="71" t="n">
        <f aca="false">0</f>
        <v>0</v>
      </c>
      <c r="G454" s="71" t="n">
        <f aca="false">0</f>
        <v>0</v>
      </c>
      <c r="H454" s="71" t="n">
        <f aca="false">0</f>
        <v>0</v>
      </c>
      <c r="I454" s="71" t="n">
        <f aca="false">0</f>
        <v>0</v>
      </c>
      <c r="J454" s="71" t="n">
        <f aca="false">0</f>
        <v>0</v>
      </c>
      <c r="K454" s="71" t="n">
        <f aca="false">0</f>
        <v>0</v>
      </c>
      <c r="L454" s="71" t="n">
        <f aca="false">0</f>
        <v>0</v>
      </c>
      <c r="M454" s="71" t="n">
        <f aca="false">0</f>
        <v>0</v>
      </c>
      <c r="N454" s="71" t="n">
        <f aca="false">0</f>
        <v>0</v>
      </c>
      <c r="O454" s="71" t="n">
        <f aca="false">0</f>
        <v>0</v>
      </c>
      <c r="P454" s="71" t="n">
        <f aca="false">0</f>
        <v>0</v>
      </c>
      <c r="Q454" s="71" t="n">
        <f aca="false">0</f>
        <v>0</v>
      </c>
      <c r="R454" s="71" t="n">
        <f aca="false">0</f>
        <v>0</v>
      </c>
      <c r="S454" s="71" t="n">
        <f aca="false">0</f>
        <v>0</v>
      </c>
      <c r="T454" s="71" t="n">
        <f aca="false">0</f>
        <v>0</v>
      </c>
      <c r="U454" s="71" t="n">
        <f aca="false">0</f>
        <v>0</v>
      </c>
      <c r="V454" s="71" t="n">
        <f aca="false">0</f>
        <v>0</v>
      </c>
      <c r="W454" s="71" t="n">
        <f aca="false">0</f>
        <v>0</v>
      </c>
      <c r="X454" s="71" t="n">
        <f aca="false">0</f>
        <v>0</v>
      </c>
      <c r="Y454" s="71" t="n">
        <f aca="false">0</f>
        <v>0</v>
      </c>
      <c r="Z454" s="71" t="n">
        <f aca="false">0</f>
        <v>0</v>
      </c>
      <c r="AA454" s="71" t="n">
        <f aca="false">0</f>
        <v>0</v>
      </c>
      <c r="AB454" s="71" t="n">
        <f aca="false">0</f>
        <v>0</v>
      </c>
    </row>
    <row r="455" customFormat="false" ht="15" hidden="false" customHeight="false" outlineLevel="0" collapsed="false">
      <c r="A455" s="28" t="s">
        <v>334</v>
      </c>
      <c r="B455" s="58" t="s">
        <v>53</v>
      </c>
      <c r="C455" s="59" t="n">
        <f aca="false">SUM(E455:P455)</f>
        <v>0</v>
      </c>
      <c r="D455" s="59" t="n">
        <f aca="false">SUM(Q455:AB455)</f>
        <v>0</v>
      </c>
      <c r="E455" s="71" t="n">
        <f aca="false">0</f>
        <v>0</v>
      </c>
      <c r="F455" s="71" t="n">
        <f aca="false">0</f>
        <v>0</v>
      </c>
      <c r="G455" s="71" t="n">
        <f aca="false">0</f>
        <v>0</v>
      </c>
      <c r="H455" s="71" t="n">
        <f aca="false">0</f>
        <v>0</v>
      </c>
      <c r="I455" s="71" t="n">
        <f aca="false">0</f>
        <v>0</v>
      </c>
      <c r="J455" s="71" t="n">
        <f aca="false">0</f>
        <v>0</v>
      </c>
      <c r="K455" s="71" t="n">
        <f aca="false">0</f>
        <v>0</v>
      </c>
      <c r="L455" s="71" t="n">
        <f aca="false">0</f>
        <v>0</v>
      </c>
      <c r="M455" s="71" t="n">
        <f aca="false">0</f>
        <v>0</v>
      </c>
      <c r="N455" s="71" t="n">
        <f aca="false">0</f>
        <v>0</v>
      </c>
      <c r="O455" s="71" t="n">
        <f aca="false">0</f>
        <v>0</v>
      </c>
      <c r="P455" s="71" t="n">
        <f aca="false">0</f>
        <v>0</v>
      </c>
      <c r="Q455" s="71" t="n">
        <f aca="false">0</f>
        <v>0</v>
      </c>
      <c r="R455" s="71" t="n">
        <f aca="false">0</f>
        <v>0</v>
      </c>
      <c r="S455" s="71" t="n">
        <f aca="false">0</f>
        <v>0</v>
      </c>
      <c r="T455" s="71" t="n">
        <f aca="false">0</f>
        <v>0</v>
      </c>
      <c r="U455" s="71" t="n">
        <f aca="false">0</f>
        <v>0</v>
      </c>
      <c r="V455" s="71" t="n">
        <f aca="false">0</f>
        <v>0</v>
      </c>
      <c r="W455" s="71" t="n">
        <f aca="false">0</f>
        <v>0</v>
      </c>
      <c r="X455" s="71" t="n">
        <f aca="false">0</f>
        <v>0</v>
      </c>
      <c r="Y455" s="71" t="n">
        <f aca="false">0</f>
        <v>0</v>
      </c>
      <c r="Z455" s="71" t="n">
        <f aca="false">0</f>
        <v>0</v>
      </c>
      <c r="AA455" s="71" t="n">
        <f aca="false">0</f>
        <v>0</v>
      </c>
      <c r="AB455" s="71" t="n">
        <f aca="false">0</f>
        <v>0</v>
      </c>
    </row>
    <row r="456" customFormat="false" ht="15" hidden="false" customHeight="false" outlineLevel="0" collapsed="false">
      <c r="A456" s="28" t="s">
        <v>701</v>
      </c>
      <c r="B456" s="58" t="s">
        <v>51</v>
      </c>
      <c r="C456" s="59" t="n">
        <f aca="false">SUM(E456:P456)</f>
        <v>0</v>
      </c>
      <c r="D456" s="59" t="n">
        <f aca="false">SUM(Q456:AB456)</f>
        <v>0</v>
      </c>
      <c r="E456" s="71" t="n">
        <f aca="false">0</f>
        <v>0</v>
      </c>
      <c r="F456" s="71" t="n">
        <f aca="false">0</f>
        <v>0</v>
      </c>
      <c r="G456" s="71" t="n">
        <f aca="false">0</f>
        <v>0</v>
      </c>
      <c r="H456" s="71" t="n">
        <f aca="false">0</f>
        <v>0</v>
      </c>
      <c r="I456" s="71" t="n">
        <f aca="false">0</f>
        <v>0</v>
      </c>
      <c r="J456" s="71" t="n">
        <f aca="false">0</f>
        <v>0</v>
      </c>
      <c r="K456" s="71" t="n">
        <f aca="false">0</f>
        <v>0</v>
      </c>
      <c r="L456" s="71" t="n">
        <f aca="false">0</f>
        <v>0</v>
      </c>
      <c r="M456" s="71" t="n">
        <f aca="false">0</f>
        <v>0</v>
      </c>
      <c r="N456" s="71" t="n">
        <f aca="false">0</f>
        <v>0</v>
      </c>
      <c r="O456" s="71" t="n">
        <f aca="false">0</f>
        <v>0</v>
      </c>
      <c r="P456" s="71" t="n">
        <f aca="false">0</f>
        <v>0</v>
      </c>
      <c r="Q456" s="71" t="n">
        <f aca="false">0</f>
        <v>0</v>
      </c>
      <c r="R456" s="71" t="n">
        <f aca="false">0</f>
        <v>0</v>
      </c>
      <c r="S456" s="71" t="n">
        <f aca="false">0</f>
        <v>0</v>
      </c>
      <c r="T456" s="71" t="n">
        <f aca="false">0</f>
        <v>0</v>
      </c>
      <c r="U456" s="71" t="n">
        <f aca="false">0</f>
        <v>0</v>
      </c>
      <c r="V456" s="71" t="n">
        <f aca="false">0</f>
        <v>0</v>
      </c>
      <c r="W456" s="71" t="n">
        <f aca="false">0</f>
        <v>0</v>
      </c>
      <c r="X456" s="71" t="n">
        <f aca="false">0</f>
        <v>0</v>
      </c>
      <c r="Y456" s="71" t="n">
        <f aca="false">0</f>
        <v>0</v>
      </c>
      <c r="Z456" s="71" t="n">
        <f aca="false">0</f>
        <v>0</v>
      </c>
      <c r="AA456" s="71" t="n">
        <f aca="false">0</f>
        <v>0</v>
      </c>
      <c r="AB456" s="71" t="n">
        <f aca="false">0</f>
        <v>0</v>
      </c>
    </row>
    <row r="457" customFormat="false" ht="15" hidden="false" customHeight="false" outlineLevel="0" collapsed="false">
      <c r="A457" s="68" t="s">
        <v>743</v>
      </c>
      <c r="B457" s="69"/>
      <c r="C457" s="70" t="n">
        <f aca="false">SUM(E457:P457)</f>
        <v>0</v>
      </c>
      <c r="D457" s="70" t="n">
        <f aca="false">SUM(Q457:AB457)</f>
        <v>78100</v>
      </c>
      <c r="E457" s="70" t="n">
        <f aca="false">SUM(E452:E456)</f>
        <v>0</v>
      </c>
      <c r="F457" s="70" t="n">
        <f aca="false">SUM(F452:F456)</f>
        <v>0</v>
      </c>
      <c r="G457" s="70" t="n">
        <f aca="false">SUM(G452:G456)</f>
        <v>0</v>
      </c>
      <c r="H457" s="70" t="n">
        <f aca="false">SUM(H452:H456)</f>
        <v>0</v>
      </c>
      <c r="I457" s="70" t="n">
        <f aca="false">SUM(I452:I456)</f>
        <v>0</v>
      </c>
      <c r="J457" s="70" t="n">
        <f aca="false">SUM(J452:J456)</f>
        <v>0</v>
      </c>
      <c r="K457" s="70" t="n">
        <f aca="false">SUM(K452:K456)</f>
        <v>0</v>
      </c>
      <c r="L457" s="70" t="n">
        <f aca="false">SUM(L452:L456)</f>
        <v>0</v>
      </c>
      <c r="M457" s="70" t="n">
        <f aca="false">SUM(M452:M456)</f>
        <v>0</v>
      </c>
      <c r="N457" s="70" t="n">
        <f aca="false">SUM(N452:N456)</f>
        <v>0</v>
      </c>
      <c r="O457" s="70" t="n">
        <f aca="false">SUM(O452:O456)</f>
        <v>0</v>
      </c>
      <c r="P457" s="70" t="n">
        <f aca="false">SUM(P452:P456)</f>
        <v>0</v>
      </c>
      <c r="Q457" s="70" t="n">
        <f aca="false">SUM(Q452:Q456)</f>
        <v>0</v>
      </c>
      <c r="R457" s="70" t="n">
        <f aca="false">SUM(R452:R456)</f>
        <v>0</v>
      </c>
      <c r="S457" s="70" t="n">
        <f aca="false">SUM(S452:S456)</f>
        <v>2851.85185185185</v>
      </c>
      <c r="T457" s="70" t="n">
        <f aca="false">SUM(T452:T456)</f>
        <v>11529.6296296296</v>
      </c>
      <c r="U457" s="70" t="n">
        <f aca="false">SUM(U452:U456)</f>
        <v>13668.5185185185</v>
      </c>
      <c r="V457" s="70" t="n">
        <f aca="false">SUM(V452:V456)</f>
        <v>13668.5185185185</v>
      </c>
      <c r="W457" s="70" t="n">
        <f aca="false">SUM(W452:W456)</f>
        <v>11529.6296296296</v>
      </c>
      <c r="X457" s="70" t="n">
        <f aca="false">SUM(X452:X456)</f>
        <v>7251.85185185185</v>
      </c>
      <c r="Y457" s="70" t="n">
        <f aca="false">SUM(Y452:Y456)</f>
        <v>4400</v>
      </c>
      <c r="Z457" s="70" t="n">
        <f aca="false">SUM(Z452:Z456)</f>
        <v>4400</v>
      </c>
      <c r="AA457" s="70" t="n">
        <f aca="false">SUM(AA452:AA456)</f>
        <v>4400</v>
      </c>
      <c r="AB457" s="70" t="n">
        <f aca="false">SUM(AB452:AB456)</f>
        <v>4400</v>
      </c>
    </row>
    <row r="458" customFormat="false" ht="15" hidden="false" customHeight="false" outlineLevel="0" collapsed="false">
      <c r="A458" s="28" t="s">
        <v>703</v>
      </c>
      <c r="B458" s="58"/>
      <c r="C458" s="59" t="n">
        <f aca="false">SUM(E458:P458)</f>
        <v>0</v>
      </c>
      <c r="D458" s="59" t="n">
        <f aca="false">SUM(Q458:AB458)</f>
        <v>78100</v>
      </c>
      <c r="E458" s="71" t="n">
        <f aca="false">E457/1</f>
        <v>0</v>
      </c>
      <c r="F458" s="71" t="n">
        <f aca="false">F457/1</f>
        <v>0</v>
      </c>
      <c r="G458" s="71" t="n">
        <f aca="false">G457/1</f>
        <v>0</v>
      </c>
      <c r="H458" s="71" t="n">
        <f aca="false">H457/1</f>
        <v>0</v>
      </c>
      <c r="I458" s="71" t="n">
        <f aca="false">I457/1</f>
        <v>0</v>
      </c>
      <c r="J458" s="71" t="n">
        <f aca="false">J457/1</f>
        <v>0</v>
      </c>
      <c r="K458" s="71" t="n">
        <f aca="false">K457/1</f>
        <v>0</v>
      </c>
      <c r="L458" s="71" t="n">
        <f aca="false">L457/1</f>
        <v>0</v>
      </c>
      <c r="M458" s="71" t="n">
        <f aca="false">M457/1</f>
        <v>0</v>
      </c>
      <c r="N458" s="71" t="n">
        <f aca="false">N457/1</f>
        <v>0</v>
      </c>
      <c r="O458" s="71" t="n">
        <f aca="false">O457/1</f>
        <v>0</v>
      </c>
      <c r="P458" s="71" t="n">
        <f aca="false">P457/1</f>
        <v>0</v>
      </c>
      <c r="Q458" s="71" t="n">
        <f aca="false">Q457/1</f>
        <v>0</v>
      </c>
      <c r="R458" s="71" t="n">
        <f aca="false">R457/1</f>
        <v>0</v>
      </c>
      <c r="S458" s="71" t="n">
        <f aca="false">S457/1</f>
        <v>2851.85185185185</v>
      </c>
      <c r="T458" s="71" t="n">
        <f aca="false">T457/1</f>
        <v>11529.6296296296</v>
      </c>
      <c r="U458" s="71" t="n">
        <f aca="false">U457/1</f>
        <v>13668.5185185185</v>
      </c>
      <c r="V458" s="71" t="n">
        <f aca="false">V457/1</f>
        <v>13668.5185185185</v>
      </c>
      <c r="W458" s="71" t="n">
        <f aca="false">W457/1</f>
        <v>11529.6296296296</v>
      </c>
      <c r="X458" s="71" t="n">
        <f aca="false">X457/1</f>
        <v>7251.85185185185</v>
      </c>
      <c r="Y458" s="71" t="n">
        <f aca="false">Y457/1</f>
        <v>4400</v>
      </c>
      <c r="Z458" s="71" t="n">
        <f aca="false">Z457/1</f>
        <v>4400</v>
      </c>
      <c r="AA458" s="71" t="n">
        <f aca="false">AA457/1</f>
        <v>4400</v>
      </c>
      <c r="AB458" s="71" t="n">
        <f aca="false">AB457/1</f>
        <v>4400</v>
      </c>
    </row>
    <row r="459" customFormat="false" ht="15" hidden="false" customHeight="false" outlineLevel="0" collapsed="false">
      <c r="A459" s="28" t="s">
        <v>704</v>
      </c>
      <c r="B459" s="58" t="s">
        <v>51</v>
      </c>
      <c r="C459" s="59" t="n">
        <f aca="false">SUM(E459:P459)</f>
        <v>0</v>
      </c>
      <c r="D459" s="59" t="n">
        <f aca="false">SUM(Q459:AB459)</f>
        <v>0</v>
      </c>
      <c r="E459" s="71" t="n">
        <f aca="false">0</f>
        <v>0</v>
      </c>
      <c r="F459" s="71" t="n">
        <f aca="false">0</f>
        <v>0</v>
      </c>
      <c r="G459" s="71" t="n">
        <f aca="false">0</f>
        <v>0</v>
      </c>
      <c r="H459" s="71" t="n">
        <f aca="false">0</f>
        <v>0</v>
      </c>
      <c r="I459" s="71" t="n">
        <f aca="false">0</f>
        <v>0</v>
      </c>
      <c r="J459" s="71" t="n">
        <f aca="false">0</f>
        <v>0</v>
      </c>
      <c r="K459" s="71" t="n">
        <f aca="false">0</f>
        <v>0</v>
      </c>
      <c r="L459" s="71" t="n">
        <f aca="false">0</f>
        <v>0</v>
      </c>
      <c r="M459" s="71" t="n">
        <f aca="false">0</f>
        <v>0</v>
      </c>
      <c r="N459" s="71" t="n">
        <f aca="false">0</f>
        <v>0</v>
      </c>
      <c r="O459" s="71" t="n">
        <f aca="false">0</f>
        <v>0</v>
      </c>
      <c r="P459" s="71" t="n">
        <f aca="false">0</f>
        <v>0</v>
      </c>
      <c r="Q459" s="71" t="n">
        <f aca="false">0</f>
        <v>0</v>
      </c>
      <c r="R459" s="71" t="n">
        <f aca="false">0</f>
        <v>0</v>
      </c>
      <c r="S459" s="71" t="n">
        <f aca="false">0</f>
        <v>0</v>
      </c>
      <c r="T459" s="71" t="n">
        <f aca="false">0</f>
        <v>0</v>
      </c>
      <c r="U459" s="71" t="n">
        <f aca="false">0</f>
        <v>0</v>
      </c>
      <c r="V459" s="71" t="n">
        <f aca="false">0</f>
        <v>0</v>
      </c>
      <c r="W459" s="71" t="n">
        <f aca="false">0</f>
        <v>0</v>
      </c>
      <c r="X459" s="71" t="n">
        <f aca="false">0</f>
        <v>0</v>
      </c>
      <c r="Y459" s="71" t="n">
        <f aca="false">0</f>
        <v>0</v>
      </c>
      <c r="Z459" s="71" t="n">
        <f aca="false">0</f>
        <v>0</v>
      </c>
      <c r="AA459" s="71" t="n">
        <f aca="false">0</f>
        <v>0</v>
      </c>
      <c r="AB459" s="71" t="n">
        <f aca="false">0</f>
        <v>0</v>
      </c>
    </row>
    <row r="460" customFormat="false" ht="15" hidden="false" customHeight="false" outlineLevel="0" collapsed="false">
      <c r="A460" s="68" t="s">
        <v>705</v>
      </c>
      <c r="B460" s="69" t="s">
        <v>706</v>
      </c>
      <c r="C460" s="70" t="n">
        <f aca="false">SUM(E460:P460)</f>
        <v>0</v>
      </c>
      <c r="D460" s="70" t="n">
        <f aca="false">SUM(Q460:AB460)</f>
        <v>78100</v>
      </c>
      <c r="E460" s="70" t="n">
        <f aca="false">E458-E459</f>
        <v>0</v>
      </c>
      <c r="F460" s="70" t="n">
        <f aca="false">F458-F459</f>
        <v>0</v>
      </c>
      <c r="G460" s="70" t="n">
        <f aca="false">G458-G459</f>
        <v>0</v>
      </c>
      <c r="H460" s="70" t="n">
        <f aca="false">H458-H459</f>
        <v>0</v>
      </c>
      <c r="I460" s="70" t="n">
        <f aca="false">I458-I459</f>
        <v>0</v>
      </c>
      <c r="J460" s="70" t="n">
        <f aca="false">J458-J459</f>
        <v>0</v>
      </c>
      <c r="K460" s="70" t="n">
        <f aca="false">K458-K459</f>
        <v>0</v>
      </c>
      <c r="L460" s="70" t="n">
        <f aca="false">L458-L459</f>
        <v>0</v>
      </c>
      <c r="M460" s="70" t="n">
        <f aca="false">M458-M459</f>
        <v>0</v>
      </c>
      <c r="N460" s="70" t="n">
        <f aca="false">N458-N459</f>
        <v>0</v>
      </c>
      <c r="O460" s="70" t="n">
        <f aca="false">O458-O459</f>
        <v>0</v>
      </c>
      <c r="P460" s="70" t="n">
        <f aca="false">P458-P459</f>
        <v>0</v>
      </c>
      <c r="Q460" s="70" t="n">
        <f aca="false">Q458-Q459</f>
        <v>0</v>
      </c>
      <c r="R460" s="70" t="n">
        <f aca="false">R458-R459</f>
        <v>0</v>
      </c>
      <c r="S460" s="70" t="n">
        <f aca="false">S458-S459</f>
        <v>2851.85185185185</v>
      </c>
      <c r="T460" s="70" t="n">
        <f aca="false">T458-T459</f>
        <v>11529.6296296296</v>
      </c>
      <c r="U460" s="70" t="n">
        <f aca="false">U458-U459</f>
        <v>13668.5185185185</v>
      </c>
      <c r="V460" s="70" t="n">
        <f aca="false">V458-V459</f>
        <v>13668.5185185185</v>
      </c>
      <c r="W460" s="70" t="n">
        <f aca="false">W458-W459</f>
        <v>11529.6296296296</v>
      </c>
      <c r="X460" s="70" t="n">
        <f aca="false">X458-X459</f>
        <v>7251.85185185185</v>
      </c>
      <c r="Y460" s="70" t="n">
        <f aca="false">Y458-Y459</f>
        <v>4400</v>
      </c>
      <c r="Z460" s="70" t="n">
        <f aca="false">Z458-Z459</f>
        <v>4400</v>
      </c>
      <c r="AA460" s="70" t="n">
        <f aca="false">AA458-AA459</f>
        <v>4400</v>
      </c>
      <c r="AB460" s="70" t="n">
        <f aca="false">AB458-AB459</f>
        <v>4400</v>
      </c>
    </row>
    <row r="461" customFormat="false" ht="15" hidden="false" customHeight="false" outlineLevel="0" collapsed="false">
      <c r="A461" s="28" t="s">
        <v>707</v>
      </c>
      <c r="B461" s="58" t="s">
        <v>708</v>
      </c>
      <c r="C461" s="66" t="n">
        <f aca="false">SUM(E461:P461)</f>
        <v>0</v>
      </c>
      <c r="D461" s="66" t="n">
        <f aca="false">SUM(Q461:AB461)</f>
        <v>820.6</v>
      </c>
      <c r="E461" s="67" t="n">
        <f aca="false">Retainers!E143+Projects!E228</f>
        <v>0</v>
      </c>
      <c r="F461" s="67" t="n">
        <f aca="false">Retainers!F143+Projects!F228</f>
        <v>0</v>
      </c>
      <c r="G461" s="67" t="n">
        <f aca="false">Retainers!G143+Projects!G228</f>
        <v>0</v>
      </c>
      <c r="H461" s="67" t="n">
        <f aca="false">Retainers!H143+Projects!H228</f>
        <v>0</v>
      </c>
      <c r="I461" s="67" t="n">
        <f aca="false">Retainers!I143+Projects!I228</f>
        <v>0</v>
      </c>
      <c r="J461" s="67" t="n">
        <f aca="false">Retainers!J143+Projects!J228</f>
        <v>0</v>
      </c>
      <c r="K461" s="67" t="n">
        <f aca="false">Retainers!K143+Projects!K228</f>
        <v>0</v>
      </c>
      <c r="L461" s="67" t="n">
        <f aca="false">Retainers!L143+Projects!L228</f>
        <v>0</v>
      </c>
      <c r="M461" s="67" t="n">
        <f aca="false">Retainers!M143+Projects!M228</f>
        <v>0</v>
      </c>
      <c r="N461" s="67" t="n">
        <f aca="false">Retainers!N143+Projects!N228</f>
        <v>0</v>
      </c>
      <c r="O461" s="67" t="n">
        <f aca="false">Retainers!O143+Projects!O228</f>
        <v>0</v>
      </c>
      <c r="P461" s="67" t="n">
        <f aca="false">Retainers!P143+Projects!P228</f>
        <v>0</v>
      </c>
      <c r="Q461" s="67" t="n">
        <f aca="false">Retainers!Q143+Projects!Q228</f>
        <v>0</v>
      </c>
      <c r="R461" s="67" t="n">
        <f aca="false">Retainers!R143+Projects!R228</f>
        <v>0</v>
      </c>
      <c r="S461" s="67" t="n">
        <f aca="false">Retainers!S143+Projects!S228</f>
        <v>28.5185185185185</v>
      </c>
      <c r="T461" s="67" t="n">
        <f aca="false">Retainers!T143+Projects!T228</f>
        <v>119.696296296296</v>
      </c>
      <c r="U461" s="67" t="n">
        <f aca="false">Retainers!U143+Projects!U228</f>
        <v>141.085185185185</v>
      </c>
      <c r="V461" s="67" t="n">
        <f aca="false">Retainers!V143+Projects!V228</f>
        <v>141.085185185185</v>
      </c>
      <c r="W461" s="67" t="n">
        <f aca="false">Retainers!W143+Projects!W228</f>
        <v>119.696296296296</v>
      </c>
      <c r="X461" s="67" t="n">
        <f aca="false">Retainers!X143+Projects!X228</f>
        <v>76.9185185185186</v>
      </c>
      <c r="Y461" s="67" t="n">
        <f aca="false">Retainers!Y143+Projects!Y228</f>
        <v>48.4</v>
      </c>
      <c r="Z461" s="67" t="n">
        <f aca="false">Retainers!Z143+Projects!Z228</f>
        <v>48.4</v>
      </c>
      <c r="AA461" s="67" t="n">
        <f aca="false">Retainers!AA143+Projects!AA228</f>
        <v>48.4</v>
      </c>
      <c r="AB461" s="67" t="n">
        <f aca="false">Retainers!AB143+Projects!AB228</f>
        <v>48.4</v>
      </c>
    </row>
    <row r="462" customFormat="false" ht="15" hidden="false" customHeight="false" outlineLevel="0" collapsed="false">
      <c r="A462" s="28" t="s">
        <v>709</v>
      </c>
      <c r="B462" s="58" t="s">
        <v>710</v>
      </c>
      <c r="C462" s="59" t="n">
        <f aca="false">SUM(E462:P462)</f>
        <v>0</v>
      </c>
      <c r="D462" s="59" t="n">
        <f aca="false">SUM(Q462:AB462)</f>
        <v>42467.2411880506</v>
      </c>
      <c r="E462" s="60" t="n">
        <f aca="false">Retainers!E143*Utilisation!E88+Projects!E228*Utilisation!E91</f>
        <v>0</v>
      </c>
      <c r="F462" s="60" t="n">
        <f aca="false">Retainers!F143*Utilisation!F88+Projects!F228*Utilisation!F91</f>
        <v>0</v>
      </c>
      <c r="G462" s="60" t="n">
        <f aca="false">Retainers!G143*Utilisation!G88+Projects!G228*Utilisation!G91</f>
        <v>0</v>
      </c>
      <c r="H462" s="60" t="n">
        <f aca="false">Retainers!H143*Utilisation!H88+Projects!H228*Utilisation!H91</f>
        <v>0</v>
      </c>
      <c r="I462" s="60" t="n">
        <f aca="false">Retainers!I143*Utilisation!I88+Projects!I228*Utilisation!I91</f>
        <v>0</v>
      </c>
      <c r="J462" s="60" t="n">
        <f aca="false">Retainers!J143*Utilisation!J88+Projects!J228*Utilisation!J91</f>
        <v>0</v>
      </c>
      <c r="K462" s="60" t="n">
        <f aca="false">Retainers!K143*Utilisation!K88+Projects!K228*Utilisation!K91</f>
        <v>0</v>
      </c>
      <c r="L462" s="60" t="n">
        <f aca="false">Retainers!L143*Utilisation!L88+Projects!L228*Utilisation!L91</f>
        <v>0</v>
      </c>
      <c r="M462" s="60" t="n">
        <f aca="false">Retainers!M143*Utilisation!M88+Projects!M228*Utilisation!M91</f>
        <v>0</v>
      </c>
      <c r="N462" s="60" t="n">
        <f aca="false">Retainers!N143*Utilisation!N88+Projects!N228*Utilisation!N91</f>
        <v>0</v>
      </c>
      <c r="O462" s="60" t="n">
        <f aca="false">Retainers!O143*Utilisation!O88+Projects!O228*Utilisation!O91</f>
        <v>0</v>
      </c>
      <c r="P462" s="60" t="n">
        <f aca="false">Retainers!P143*Utilisation!P88+Projects!P228*Utilisation!P91</f>
        <v>0</v>
      </c>
      <c r="Q462" s="60" t="n">
        <f aca="false">Retainers!Q143*Utilisation!Q88+Projects!Q228*Utilisation!Q91</f>
        <v>0</v>
      </c>
      <c r="R462" s="60" t="n">
        <f aca="false">Retainers!R143*Utilisation!R88+Projects!R228*Utilisation!R91</f>
        <v>0</v>
      </c>
      <c r="S462" s="60" t="n">
        <f aca="false">Retainers!S143*Utilisation!S88+Projects!S228*Utilisation!S91</f>
        <v>1577.00782447257</v>
      </c>
      <c r="T462" s="60" t="n">
        <f aca="false">Retainers!T143*Utilisation!T88+Projects!T228*Utilisation!T91</f>
        <v>6295.59017870042</v>
      </c>
      <c r="U462" s="60" t="n">
        <f aca="false">Retainers!U143*Utilisation!U88+Projects!U228*Utilisation!U91</f>
        <v>7478.34604705485</v>
      </c>
      <c r="V462" s="60" t="n">
        <f aca="false">Retainers!V143*Utilisation!V88+Projects!V228*Utilisation!V91</f>
        <v>7478.34604705485</v>
      </c>
      <c r="W462" s="60" t="n">
        <f aca="false">Retainers!W143*Utilisation!W88+Projects!W228*Utilisation!W91</f>
        <v>6295.59017870042</v>
      </c>
      <c r="X462" s="60" t="n">
        <f aca="false">Retainers!X143*Utilisation!X88+Projects!X228*Utilisation!X91</f>
        <v>3930.07844199156</v>
      </c>
      <c r="Y462" s="60" t="n">
        <f aca="false">Retainers!Y143*Utilisation!Y88+Projects!Y228*Utilisation!Y91</f>
        <v>2353.07061751899</v>
      </c>
      <c r="Z462" s="60" t="n">
        <f aca="false">Retainers!Z143*Utilisation!Z88+Projects!Z228*Utilisation!Z91</f>
        <v>2353.07061751899</v>
      </c>
      <c r="AA462" s="60" t="n">
        <f aca="false">Retainers!AA143*Utilisation!AA88+Projects!AA228*Utilisation!AA91</f>
        <v>2353.07061751899</v>
      </c>
      <c r="AB462" s="60" t="n">
        <f aca="false">Retainers!AB143*Utilisation!AB88+Projects!AB228*Utilisation!AB91</f>
        <v>2353.07061751899</v>
      </c>
    </row>
    <row r="463" customFormat="false" ht="15" hidden="false" customHeight="false" outlineLevel="0" collapsed="false">
      <c r="A463" s="28" t="s">
        <v>711</v>
      </c>
      <c r="B463" s="58" t="s">
        <v>53</v>
      </c>
      <c r="C463" s="59" t="n">
        <f aca="false">SUM(E463:P463)</f>
        <v>0</v>
      </c>
      <c r="D463" s="59" t="n">
        <f aca="false">SUM(Q463:AB463)</f>
        <v>0</v>
      </c>
      <c r="E463" s="71" t="n">
        <f aca="false">0</f>
        <v>0</v>
      </c>
      <c r="F463" s="71" t="n">
        <f aca="false">0</f>
        <v>0</v>
      </c>
      <c r="G463" s="71" t="n">
        <f aca="false">0</f>
        <v>0</v>
      </c>
      <c r="H463" s="71" t="n">
        <f aca="false">0</f>
        <v>0</v>
      </c>
      <c r="I463" s="71" t="n">
        <f aca="false">0</f>
        <v>0</v>
      </c>
      <c r="J463" s="71" t="n">
        <f aca="false">0</f>
        <v>0</v>
      </c>
      <c r="K463" s="71" t="n">
        <f aca="false">0</f>
        <v>0</v>
      </c>
      <c r="L463" s="71" t="n">
        <f aca="false">0</f>
        <v>0</v>
      </c>
      <c r="M463" s="71" t="n">
        <f aca="false">0</f>
        <v>0</v>
      </c>
      <c r="N463" s="71" t="n">
        <f aca="false">0</f>
        <v>0</v>
      </c>
      <c r="O463" s="71" t="n">
        <f aca="false">0</f>
        <v>0</v>
      </c>
      <c r="P463" s="71" t="n">
        <f aca="false">0</f>
        <v>0</v>
      </c>
      <c r="Q463" s="71" t="n">
        <f aca="false">0</f>
        <v>0</v>
      </c>
      <c r="R463" s="71" t="n">
        <f aca="false">0</f>
        <v>0</v>
      </c>
      <c r="S463" s="71" t="n">
        <f aca="false">0</f>
        <v>0</v>
      </c>
      <c r="T463" s="71" t="n">
        <f aca="false">0</f>
        <v>0</v>
      </c>
      <c r="U463" s="71" t="n">
        <f aca="false">0</f>
        <v>0</v>
      </c>
      <c r="V463" s="71" t="n">
        <f aca="false">0</f>
        <v>0</v>
      </c>
      <c r="W463" s="71" t="n">
        <f aca="false">0</f>
        <v>0</v>
      </c>
      <c r="X463" s="71" t="n">
        <f aca="false">0</f>
        <v>0</v>
      </c>
      <c r="Y463" s="71" t="n">
        <f aca="false">0</f>
        <v>0</v>
      </c>
      <c r="Z463" s="71" t="n">
        <f aca="false">0</f>
        <v>0</v>
      </c>
      <c r="AA463" s="71" t="n">
        <f aca="false">0</f>
        <v>0</v>
      </c>
      <c r="AB463" s="71" t="n">
        <f aca="false">0</f>
        <v>0</v>
      </c>
    </row>
    <row r="464" customFormat="false" ht="15" hidden="false" customHeight="false" outlineLevel="0" collapsed="false">
      <c r="A464" s="28" t="s">
        <v>712</v>
      </c>
      <c r="B464" s="58" t="s">
        <v>713</v>
      </c>
      <c r="C464" s="59" t="n">
        <f aca="false">SUM(E464:P464)</f>
        <v>0</v>
      </c>
      <c r="D464" s="59" t="n">
        <f aca="false">SUM(Q464:AB464)</f>
        <v>78100</v>
      </c>
      <c r="E464" s="60" t="n">
        <f aca="false">Retainers!E146+Projects!E236+E455+E463+E456</f>
        <v>0</v>
      </c>
      <c r="F464" s="60" t="n">
        <f aca="false">Retainers!F146+Projects!F236+F455+F463+F456</f>
        <v>0</v>
      </c>
      <c r="G464" s="60" t="n">
        <f aca="false">Retainers!G146+Projects!G236+G455+G463+G456</f>
        <v>0</v>
      </c>
      <c r="H464" s="60" t="n">
        <f aca="false">Retainers!H146+Projects!H236+H455+H463+H456</f>
        <v>0</v>
      </c>
      <c r="I464" s="60" t="n">
        <f aca="false">Retainers!I146+Projects!I236+I455+I463+I456</f>
        <v>0</v>
      </c>
      <c r="J464" s="60" t="n">
        <f aca="false">Retainers!J146+Projects!J236+J455+J463+J456</f>
        <v>0</v>
      </c>
      <c r="K464" s="60" t="n">
        <f aca="false">Retainers!K146+Projects!K236+K455+K463+K456</f>
        <v>0</v>
      </c>
      <c r="L464" s="60" t="n">
        <f aca="false">Retainers!L146+Projects!L236+L455+L463+L456</f>
        <v>0</v>
      </c>
      <c r="M464" s="60" t="n">
        <f aca="false">Retainers!M146+Projects!M236+M455+M463+M456</f>
        <v>0</v>
      </c>
      <c r="N464" s="60" t="n">
        <f aca="false">Retainers!N146+Projects!N236+N455+N463+N456</f>
        <v>0</v>
      </c>
      <c r="O464" s="60" t="n">
        <f aca="false">Retainers!O146+Projects!O236+O455+O463+O456</f>
        <v>0</v>
      </c>
      <c r="P464" s="60" t="n">
        <f aca="false">Retainers!P146+Projects!P236+P455+P463+P456</f>
        <v>0</v>
      </c>
      <c r="Q464" s="60" t="n">
        <f aca="false">Retainers!Q146+Projects!Q236+Q455+Q463+Q456</f>
        <v>0</v>
      </c>
      <c r="R464" s="60" t="n">
        <f aca="false">Retainers!R146+Projects!R236+R455+R463+R456</f>
        <v>0</v>
      </c>
      <c r="S464" s="60" t="n">
        <f aca="false">Retainers!S146+Projects!S236+S455+S463+S456</f>
        <v>11550</v>
      </c>
      <c r="T464" s="60" t="n">
        <f aca="false">Retainers!T146+Projects!T236+T455+T463+T456</f>
        <v>4400</v>
      </c>
      <c r="U464" s="60" t="n">
        <f aca="false">Retainers!U146+Projects!U236+U455+U463+U456</f>
        <v>4400</v>
      </c>
      <c r="V464" s="60" t="n">
        <f aca="false">Retainers!V146+Projects!V236+V455+V463+V456</f>
        <v>19800</v>
      </c>
      <c r="W464" s="60" t="n">
        <f aca="false">Retainers!W146+Projects!W236+W455+W463+W456</f>
        <v>4400</v>
      </c>
      <c r="X464" s="60" t="n">
        <f aca="false">Retainers!X146+Projects!X236+X455+X463+X456</f>
        <v>15950</v>
      </c>
      <c r="Y464" s="60" t="n">
        <f aca="false">Retainers!Y146+Projects!Y236+Y455+Y463+Y456</f>
        <v>4400</v>
      </c>
      <c r="Z464" s="60" t="n">
        <f aca="false">Retainers!Z146+Projects!Z236+Z455+Z463+Z456</f>
        <v>4400</v>
      </c>
      <c r="AA464" s="60" t="n">
        <f aca="false">Retainers!AA146+Projects!AA236+AA455+AA463+AA456</f>
        <v>4400</v>
      </c>
      <c r="AB464" s="60" t="n">
        <f aca="false">Retainers!AB146+Projects!AB236+AB455+AB463+AB456</f>
        <v>4400</v>
      </c>
    </row>
    <row r="465" customFormat="false" ht="15" hidden="false" customHeight="false" outlineLevel="0" collapsed="false">
      <c r="A465" s="28" t="s">
        <v>714</v>
      </c>
      <c r="B465" s="58" t="s">
        <v>715</v>
      </c>
      <c r="C465" s="59" t="n">
        <f aca="false">SUM(E465:P465)</f>
        <v>0</v>
      </c>
      <c r="D465" s="59" t="n">
        <f aca="false">SUM(Q465:AB465)</f>
        <v>0</v>
      </c>
      <c r="E465" s="60" t="n">
        <f aca="false">E464*Client_Register!$F$27</f>
        <v>0</v>
      </c>
      <c r="F465" s="60" t="n">
        <f aca="false">F464*Client_Register!$F$27</f>
        <v>0</v>
      </c>
      <c r="G465" s="60" t="n">
        <f aca="false">G464*Client_Register!$F$27</f>
        <v>0</v>
      </c>
      <c r="H465" s="60" t="n">
        <f aca="false">H464*Client_Register!$F$27</f>
        <v>0</v>
      </c>
      <c r="I465" s="60" t="n">
        <f aca="false">I464*Client_Register!$F$27</f>
        <v>0</v>
      </c>
      <c r="J465" s="60" t="n">
        <f aca="false">J464*Client_Register!$F$27</f>
        <v>0</v>
      </c>
      <c r="K465" s="60" t="n">
        <f aca="false">K464*Client_Register!$F$27</f>
        <v>0</v>
      </c>
      <c r="L465" s="60" t="n">
        <f aca="false">L464*Client_Register!$F$27</f>
        <v>0</v>
      </c>
      <c r="M465" s="60" t="n">
        <f aca="false">M464*Client_Register!$F$27</f>
        <v>0</v>
      </c>
      <c r="N465" s="60" t="n">
        <f aca="false">N464*Client_Register!$F$27</f>
        <v>0</v>
      </c>
      <c r="O465" s="60" t="n">
        <f aca="false">O464*Client_Register!$F$27</f>
        <v>0</v>
      </c>
      <c r="P465" s="60" t="n">
        <f aca="false">P464*Client_Register!$F$27</f>
        <v>0</v>
      </c>
      <c r="Q465" s="60" t="n">
        <f aca="false">Q464*Client_Register!$F$27</f>
        <v>0</v>
      </c>
      <c r="R465" s="60" t="n">
        <f aca="false">R464*Client_Register!$F$27</f>
        <v>0</v>
      </c>
      <c r="S465" s="60" t="n">
        <f aca="false">S464*Client_Register!$F$27</f>
        <v>0</v>
      </c>
      <c r="T465" s="60" t="n">
        <f aca="false">T464*Client_Register!$F$27</f>
        <v>0</v>
      </c>
      <c r="U465" s="60" t="n">
        <f aca="false">U464*Client_Register!$F$27</f>
        <v>0</v>
      </c>
      <c r="V465" s="60" t="n">
        <f aca="false">V464*Client_Register!$F$27</f>
        <v>0</v>
      </c>
      <c r="W465" s="60" t="n">
        <f aca="false">W464*Client_Register!$F$27</f>
        <v>0</v>
      </c>
      <c r="X465" s="60" t="n">
        <f aca="false">X464*Client_Register!$F$27</f>
        <v>0</v>
      </c>
      <c r="Y465" s="60" t="n">
        <f aca="false">Y464*Client_Register!$F$27</f>
        <v>0</v>
      </c>
      <c r="Z465" s="60" t="n">
        <f aca="false">Z464*Client_Register!$F$27</f>
        <v>0</v>
      </c>
      <c r="AA465" s="60" t="n">
        <f aca="false">AA464*Client_Register!$F$27</f>
        <v>0</v>
      </c>
      <c r="AB465" s="60" t="n">
        <f aca="false">AB464*Client_Register!$F$27</f>
        <v>0</v>
      </c>
    </row>
    <row r="466" customFormat="false" ht="15" hidden="false" customHeight="false" outlineLevel="0" collapsed="false">
      <c r="A466" s="68" t="s">
        <v>716</v>
      </c>
      <c r="B466" s="69"/>
      <c r="C466" s="70" t="n">
        <f aca="false">SUM(E466:P466)</f>
        <v>0</v>
      </c>
      <c r="D466" s="70" t="n">
        <f aca="false">SUM(Q466:AB466)</f>
        <v>78100</v>
      </c>
      <c r="E466" s="70" t="n">
        <f aca="false">E464+E465</f>
        <v>0</v>
      </c>
      <c r="F466" s="70" t="n">
        <f aca="false">F464+F465</f>
        <v>0</v>
      </c>
      <c r="G466" s="70" t="n">
        <f aca="false">G464+G465</f>
        <v>0</v>
      </c>
      <c r="H466" s="70" t="n">
        <f aca="false">H464+H465</f>
        <v>0</v>
      </c>
      <c r="I466" s="70" t="n">
        <f aca="false">I464+I465</f>
        <v>0</v>
      </c>
      <c r="J466" s="70" t="n">
        <f aca="false">J464+J465</f>
        <v>0</v>
      </c>
      <c r="K466" s="70" t="n">
        <f aca="false">K464+K465</f>
        <v>0</v>
      </c>
      <c r="L466" s="70" t="n">
        <f aca="false">L464+L465</f>
        <v>0</v>
      </c>
      <c r="M466" s="70" t="n">
        <f aca="false">M464+M465</f>
        <v>0</v>
      </c>
      <c r="N466" s="70" t="n">
        <f aca="false">N464+N465</f>
        <v>0</v>
      </c>
      <c r="O466" s="70" t="n">
        <f aca="false">O464+O465</f>
        <v>0</v>
      </c>
      <c r="P466" s="70" t="n">
        <f aca="false">P464+P465</f>
        <v>0</v>
      </c>
      <c r="Q466" s="70" t="n">
        <f aca="false">Q464+Q465</f>
        <v>0</v>
      </c>
      <c r="R466" s="70" t="n">
        <f aca="false">R464+R465</f>
        <v>0</v>
      </c>
      <c r="S466" s="70" t="n">
        <f aca="false">S464+S465</f>
        <v>11550</v>
      </c>
      <c r="T466" s="70" t="n">
        <f aca="false">T464+T465</f>
        <v>4400</v>
      </c>
      <c r="U466" s="70" t="n">
        <f aca="false">U464+U465</f>
        <v>4400</v>
      </c>
      <c r="V466" s="70" t="n">
        <f aca="false">V464+V465</f>
        <v>19800</v>
      </c>
      <c r="W466" s="70" t="n">
        <f aca="false">W464+W465</f>
        <v>4400</v>
      </c>
      <c r="X466" s="70" t="n">
        <f aca="false">X464+X465</f>
        <v>15950</v>
      </c>
      <c r="Y466" s="70" t="n">
        <f aca="false">Y464+Y465</f>
        <v>4400</v>
      </c>
      <c r="Z466" s="70" t="n">
        <f aca="false">Z464+Z465</f>
        <v>4400</v>
      </c>
      <c r="AA466" s="70" t="n">
        <f aca="false">AA464+AA465</f>
        <v>4400</v>
      </c>
      <c r="AB466" s="70" t="n">
        <f aca="false">AB464+AB465</f>
        <v>4400</v>
      </c>
    </row>
    <row r="467" customFormat="false" ht="15" hidden="false" customHeight="false" outlineLevel="0" collapsed="false">
      <c r="A467" s="28" t="s">
        <v>717</v>
      </c>
      <c r="B467" s="58" t="s">
        <v>718</v>
      </c>
      <c r="C467" s="59" t="n">
        <f aca="false">SUM(E467:P467)</f>
        <v>0</v>
      </c>
      <c r="D467" s="59" t="n">
        <f aca="false">SUM(Q467:AB467)</f>
        <v>73700</v>
      </c>
      <c r="E467" s="60" t="n">
        <f aca="false">IF(E$5="A",0,Client_Register!$T$27+E466-(E466*MIN(1,Client_Register!$J$27/30)+0*MIN(1,MAX(0,(Client_Register!$J$27-30)/30))+0*MIN(1,MAX(0,(Client_Register!$J$27-60)/30))))</f>
        <v>0</v>
      </c>
      <c r="F467" s="60" t="n">
        <f aca="false">IF(F$5="A",0,E468+F466-(F466*MIN(1,Client_Register!$J$27/30)+E466*MIN(1,MAX(0,(Client_Register!$J$27-30)/30))+0*MIN(1,MAX(0,(Client_Register!$J$27-60)/30))))</f>
        <v>0</v>
      </c>
      <c r="G467" s="60" t="n">
        <f aca="false">IF(G$5="A",0,F468+G466-(G466*MIN(1,Client_Register!$J$27/30)+F466*MIN(1,MAX(0,(Client_Register!$J$27-30)/30))+E466*MIN(1,MAX(0,(Client_Register!$J$27-60)/30))))</f>
        <v>0</v>
      </c>
      <c r="H467" s="60" t="n">
        <f aca="false">IF(H$5="A",0,G468+H466-(H466*MIN(1,Client_Register!$J$27/30)+G466*MIN(1,MAX(0,(Client_Register!$J$27-30)/30))+F466*MIN(1,MAX(0,(Client_Register!$J$27-60)/30))))</f>
        <v>0</v>
      </c>
      <c r="I467" s="60" t="n">
        <f aca="false">IF(I$5="A",0,H468+I466-(I466*MIN(1,Client_Register!$J$27/30)+H466*MIN(1,MAX(0,(Client_Register!$J$27-30)/30))+G466*MIN(1,MAX(0,(Client_Register!$J$27-60)/30))))</f>
        <v>0</v>
      </c>
      <c r="J467" s="60" t="n">
        <f aca="false">IF(J$5="A",0,I468+J466-(J466*MIN(1,Client_Register!$J$27/30)+I466*MIN(1,MAX(0,(Client_Register!$J$27-30)/30))+H466*MIN(1,MAX(0,(Client_Register!$J$27-60)/30))))</f>
        <v>0</v>
      </c>
      <c r="K467" s="60" t="n">
        <f aca="false">IF(K$5="A",0,J468+K466-(K466*MIN(1,Client_Register!$J$27/30)+J466*MIN(1,MAX(0,(Client_Register!$J$27-30)/30))+I466*MIN(1,MAX(0,(Client_Register!$J$27-60)/30))))</f>
        <v>0</v>
      </c>
      <c r="L467" s="60" t="n">
        <f aca="false">IF(L$5="A",0,K468+L466-(L466*MIN(1,Client_Register!$J$27/30)+K466*MIN(1,MAX(0,(Client_Register!$J$27-30)/30))+J466*MIN(1,MAX(0,(Client_Register!$J$27-60)/30))))</f>
        <v>0</v>
      </c>
      <c r="M467" s="60" t="n">
        <f aca="false">IF(M$5="A",0,L468+M466-(M466*MIN(1,Client_Register!$J$27/30)+L466*MIN(1,MAX(0,(Client_Register!$J$27-30)/30))+K466*MIN(1,MAX(0,(Client_Register!$J$27-60)/30))))</f>
        <v>0</v>
      </c>
      <c r="N467" s="60" t="n">
        <f aca="false">IF(N$5="A",0,M468+N466-(N466*MIN(1,Client_Register!$J$27/30)+M466*MIN(1,MAX(0,(Client_Register!$J$27-30)/30))+L466*MIN(1,MAX(0,(Client_Register!$J$27-60)/30))))</f>
        <v>0</v>
      </c>
      <c r="O467" s="60" t="n">
        <f aca="false">IF(O$5="A",0,N468+O466-(O466*MIN(1,Client_Register!$J$27/30)+N466*MIN(1,MAX(0,(Client_Register!$J$27-30)/30))+M466*MIN(1,MAX(0,(Client_Register!$J$27-60)/30))))</f>
        <v>0</v>
      </c>
      <c r="P467" s="60" t="n">
        <f aca="false">IF(P$5="A",0,O468+P466-(P466*MIN(1,Client_Register!$J$27/30)+O466*MIN(1,MAX(0,(Client_Register!$J$27-30)/30))+N466*MIN(1,MAX(0,(Client_Register!$J$27-60)/30))))</f>
        <v>0</v>
      </c>
      <c r="Q467" s="60" t="n">
        <f aca="false">IF(Q$5="A",0,P468+Q466-(Q466*MIN(1,Client_Register!$J$27/30)+P466*MIN(1,MAX(0,(Client_Register!$J$27-30)/30))+O466*MIN(1,MAX(0,(Client_Register!$J$27-60)/30))))</f>
        <v>0</v>
      </c>
      <c r="R467" s="60" t="n">
        <f aca="false">IF(R$5="A",0,Q468+R466-(R466*MIN(1,Client_Register!$J$27/30)+Q466*MIN(1,MAX(0,(Client_Register!$J$27-30)/30))+P466*MIN(1,MAX(0,(Client_Register!$J$27-60)/30))))</f>
        <v>0</v>
      </c>
      <c r="S467" s="60" t="n">
        <f aca="false">IF(S$5="A",0,R468+S466-(S466*MIN(1,Client_Register!$J$27/30)+R466*MIN(1,MAX(0,(Client_Register!$J$27-30)/30))+Q466*MIN(1,MAX(0,(Client_Register!$J$27-60)/30))))</f>
        <v>0</v>
      </c>
      <c r="T467" s="60" t="n">
        <f aca="false">IF(T$5="A",0,S468+T466-(T466*MIN(1,Client_Register!$J$27/30)+S466*MIN(1,MAX(0,(Client_Register!$J$27-30)/30))+R466*MIN(1,MAX(0,(Client_Register!$J$27-60)/30))))</f>
        <v>11550</v>
      </c>
      <c r="U467" s="60" t="n">
        <f aca="false">IF(U$5="A",0,T468+U466-(U466*MIN(1,Client_Register!$J$27/30)+T466*MIN(1,MAX(0,(Client_Register!$J$27-30)/30))+S466*MIN(1,MAX(0,(Client_Register!$J$27-60)/30))))</f>
        <v>4400</v>
      </c>
      <c r="V467" s="60" t="n">
        <f aca="false">IF(V$5="A",0,U468+V466-(V466*MIN(1,Client_Register!$J$27/30)+U466*MIN(1,MAX(0,(Client_Register!$J$27-30)/30))+T466*MIN(1,MAX(0,(Client_Register!$J$27-60)/30))))</f>
        <v>4400</v>
      </c>
      <c r="W467" s="60" t="n">
        <f aca="false">IF(W$5="A",0,V468+W466-(W466*MIN(1,Client_Register!$J$27/30)+V466*MIN(1,MAX(0,(Client_Register!$J$27-30)/30))+U466*MIN(1,MAX(0,(Client_Register!$J$27-60)/30))))</f>
        <v>19800</v>
      </c>
      <c r="X467" s="60" t="n">
        <f aca="false">IF(X$5="A",0,W468+X466-(X466*MIN(1,Client_Register!$J$27/30)+W466*MIN(1,MAX(0,(Client_Register!$J$27-30)/30))+V466*MIN(1,MAX(0,(Client_Register!$J$27-60)/30))))</f>
        <v>4400</v>
      </c>
      <c r="Y467" s="60" t="n">
        <f aca="false">IF(Y$5="A",0,X468+Y466-(Y466*MIN(1,Client_Register!$J$27/30)+X466*MIN(1,MAX(0,(Client_Register!$J$27-30)/30))+W466*MIN(1,MAX(0,(Client_Register!$J$27-60)/30))))</f>
        <v>15950</v>
      </c>
      <c r="Z467" s="60" t="n">
        <f aca="false">IF(Z$5="A",0,Y468+Z466-(Z466*MIN(1,Client_Register!$J$27/30)+Y466*MIN(1,MAX(0,(Client_Register!$J$27-30)/30))+X466*MIN(1,MAX(0,(Client_Register!$J$27-60)/30))))</f>
        <v>4400</v>
      </c>
      <c r="AA467" s="60" t="n">
        <f aca="false">IF(AA$5="A",0,Z468+AA466-(AA466*MIN(1,Client_Register!$J$27/30)+Z466*MIN(1,MAX(0,(Client_Register!$J$27-30)/30))+Y466*MIN(1,MAX(0,(Client_Register!$J$27-60)/30))))</f>
        <v>4400</v>
      </c>
      <c r="AB467" s="60" t="n">
        <f aca="false">IF(AB$5="A",0,AA468+AB466-(AB466*MIN(1,Client_Register!$J$27/30)+AA466*MIN(1,MAX(0,(Client_Register!$J$27-30)/30))+Z466*MIN(1,MAX(0,(Client_Register!$J$27-60)/30))))</f>
        <v>4400</v>
      </c>
    </row>
    <row r="468" customFormat="false" ht="15" hidden="false" customHeight="false" outlineLevel="0" collapsed="false">
      <c r="A468" s="68" t="s">
        <v>719</v>
      </c>
      <c r="B468" s="69" t="s">
        <v>720</v>
      </c>
      <c r="C468" s="70" t="n">
        <f aca="false">P468</f>
        <v>0</v>
      </c>
      <c r="D468" s="70" t="n">
        <f aca="false">AB468</f>
        <v>4400</v>
      </c>
      <c r="E468" s="74" t="n">
        <f aca="false">Client_Register!$T$27+E466-E467</f>
        <v>0</v>
      </c>
      <c r="F468" s="70" t="n">
        <f aca="false">E468+F466-F467</f>
        <v>0</v>
      </c>
      <c r="G468" s="70" t="n">
        <f aca="false">F468+G466-G467</f>
        <v>0</v>
      </c>
      <c r="H468" s="70" t="n">
        <f aca="false">G468+H466-H467</f>
        <v>0</v>
      </c>
      <c r="I468" s="70" t="n">
        <f aca="false">H468+I466-I467</f>
        <v>0</v>
      </c>
      <c r="J468" s="70" t="n">
        <f aca="false">I468+J466-J467</f>
        <v>0</v>
      </c>
      <c r="K468" s="70" t="n">
        <f aca="false">J468+K466-K467</f>
        <v>0</v>
      </c>
      <c r="L468" s="70" t="n">
        <f aca="false">K468+L466-L467</f>
        <v>0</v>
      </c>
      <c r="M468" s="70" t="n">
        <f aca="false">L468+M466-M467</f>
        <v>0</v>
      </c>
      <c r="N468" s="70" t="n">
        <f aca="false">M468+N466-N467</f>
        <v>0</v>
      </c>
      <c r="O468" s="70" t="n">
        <f aca="false">N468+O466-O467</f>
        <v>0</v>
      </c>
      <c r="P468" s="70" t="n">
        <f aca="false">O468+P466-P467</f>
        <v>0</v>
      </c>
      <c r="Q468" s="70" t="n">
        <f aca="false">P468+Q466-Q467</f>
        <v>0</v>
      </c>
      <c r="R468" s="70" t="n">
        <f aca="false">Q468+R466-R467</f>
        <v>0</v>
      </c>
      <c r="S468" s="70" t="n">
        <f aca="false">R468+S466-S467</f>
        <v>11550</v>
      </c>
      <c r="T468" s="70" t="n">
        <f aca="false">S468+T466-T467</f>
        <v>4400</v>
      </c>
      <c r="U468" s="70" t="n">
        <f aca="false">T468+U466-U467</f>
        <v>4400</v>
      </c>
      <c r="V468" s="70" t="n">
        <f aca="false">U468+V466-V467</f>
        <v>19800</v>
      </c>
      <c r="W468" s="70" t="n">
        <f aca="false">V468+W466-W467</f>
        <v>4400</v>
      </c>
      <c r="X468" s="70" t="n">
        <f aca="false">W468+X466-X467</f>
        <v>15950</v>
      </c>
      <c r="Y468" s="70" t="n">
        <f aca="false">X468+Y466-Y467</f>
        <v>4400</v>
      </c>
      <c r="Z468" s="70" t="n">
        <f aca="false">Y468+Z466-Z467</f>
        <v>4400</v>
      </c>
      <c r="AA468" s="70" t="n">
        <f aca="false">Z468+AA466-AA467</f>
        <v>4400</v>
      </c>
      <c r="AB468" s="70" t="n">
        <f aca="false">AA468+AB466-AB467</f>
        <v>4400</v>
      </c>
    </row>
    <row r="469" customFormat="false" ht="15" hidden="false" customHeight="false" outlineLevel="0" collapsed="false">
      <c r="A469" s="28" t="s">
        <v>721</v>
      </c>
      <c r="B469" s="58" t="s">
        <v>722</v>
      </c>
      <c r="C469" s="59" t="n">
        <f aca="false">P469</f>
        <v>0</v>
      </c>
      <c r="D469" s="59" t="n">
        <f aca="false">AB469</f>
        <v>0</v>
      </c>
      <c r="E469" s="60" t="n">
        <f aca="false">Client_Register!$U$27+E457-(E464-E463)</f>
        <v>0</v>
      </c>
      <c r="F469" s="71" t="n">
        <f aca="false">E469+F457-(F464-F463)</f>
        <v>0</v>
      </c>
      <c r="G469" s="71" t="n">
        <f aca="false">F469+G457-(G464-G463)</f>
        <v>0</v>
      </c>
      <c r="H469" s="71" t="n">
        <f aca="false">G469+H457-(H464-H463)</f>
        <v>0</v>
      </c>
      <c r="I469" s="71" t="n">
        <f aca="false">H469+I457-(I464-I463)</f>
        <v>0</v>
      </c>
      <c r="J469" s="71" t="n">
        <f aca="false">I469+J457-(J464-J463)</f>
        <v>0</v>
      </c>
      <c r="K469" s="71" t="n">
        <f aca="false">J469+K457-(K464-K463)</f>
        <v>0</v>
      </c>
      <c r="L469" s="71" t="n">
        <f aca="false">K469+L457-(L464-L463)</f>
        <v>0</v>
      </c>
      <c r="M469" s="71" t="n">
        <f aca="false">L469+M457-(M464-M463)</f>
        <v>0</v>
      </c>
      <c r="N469" s="71" t="n">
        <f aca="false">M469+N457-(N464-N463)</f>
        <v>0</v>
      </c>
      <c r="O469" s="71" t="n">
        <f aca="false">N469+O457-(O464-O463)</f>
        <v>0</v>
      </c>
      <c r="P469" s="71" t="n">
        <f aca="false">O469+P457-(P464-P463)</f>
        <v>0</v>
      </c>
      <c r="Q469" s="71" t="n">
        <f aca="false">P469+Q457-(Q464-Q463)</f>
        <v>0</v>
      </c>
      <c r="R469" s="71" t="n">
        <f aca="false">Q469+R457-(R464-R463)</f>
        <v>0</v>
      </c>
      <c r="S469" s="71" t="n">
        <f aca="false">R469+S457-(S464-S463)</f>
        <v>-8698.14814814815</v>
      </c>
      <c r="T469" s="71" t="n">
        <f aca="false">S469+T457-(T464-T463)</f>
        <v>-1568.51851851852</v>
      </c>
      <c r="U469" s="71" t="n">
        <f aca="false">T469+U457-(U464-U463)</f>
        <v>7700</v>
      </c>
      <c r="V469" s="71" t="n">
        <f aca="false">U469+V457-(V464-V463)</f>
        <v>1568.51851851852</v>
      </c>
      <c r="W469" s="71" t="n">
        <f aca="false">V469+W457-(W464-W463)</f>
        <v>8698.14814814815</v>
      </c>
      <c r="X469" s="71" t="n">
        <f aca="false">W469+X457-(X464-X463)</f>
        <v>0</v>
      </c>
      <c r="Y469" s="71" t="n">
        <f aca="false">X469+Y457-(Y464-Y463)</f>
        <v>0</v>
      </c>
      <c r="Z469" s="71" t="n">
        <f aca="false">Y469+Z457-(Z464-Z463)</f>
        <v>0</v>
      </c>
      <c r="AA469" s="71" t="n">
        <f aca="false">Z469+AA457-(AA464-AA463)</f>
        <v>0</v>
      </c>
      <c r="AB469" s="71" t="n">
        <f aca="false">AA469+AB457-(AB464-AB463)</f>
        <v>0</v>
      </c>
    </row>
    <row r="470" customFormat="false" ht="15" hidden="false" customHeight="false" outlineLevel="0" collapsed="false">
      <c r="A470" s="28" t="s">
        <v>723</v>
      </c>
      <c r="B470" s="58"/>
      <c r="C470" s="59" t="n">
        <f aca="false">P470</f>
        <v>0</v>
      </c>
      <c r="D470" s="59" t="n">
        <f aca="false">AB470</f>
        <v>4400</v>
      </c>
      <c r="E470" s="71" t="n">
        <f aca="false">E468/1</f>
        <v>0</v>
      </c>
      <c r="F470" s="71" t="n">
        <f aca="false">F468/1</f>
        <v>0</v>
      </c>
      <c r="G470" s="71" t="n">
        <f aca="false">G468/1</f>
        <v>0</v>
      </c>
      <c r="H470" s="71" t="n">
        <f aca="false">H468/1</f>
        <v>0</v>
      </c>
      <c r="I470" s="71" t="n">
        <f aca="false">I468/1</f>
        <v>0</v>
      </c>
      <c r="J470" s="71" t="n">
        <f aca="false">J468/1</f>
        <v>0</v>
      </c>
      <c r="K470" s="71" t="n">
        <f aca="false">K468/1</f>
        <v>0</v>
      </c>
      <c r="L470" s="71" t="n">
        <f aca="false">L468/1</f>
        <v>0</v>
      </c>
      <c r="M470" s="71" t="n">
        <f aca="false">M468/1</f>
        <v>0</v>
      </c>
      <c r="N470" s="71" t="n">
        <f aca="false">N468/1</f>
        <v>0</v>
      </c>
      <c r="O470" s="71" t="n">
        <f aca="false">O468/1</f>
        <v>0</v>
      </c>
      <c r="P470" s="71" t="n">
        <f aca="false">P468/1</f>
        <v>0</v>
      </c>
      <c r="Q470" s="71" t="n">
        <f aca="false">Q468/1</f>
        <v>0</v>
      </c>
      <c r="R470" s="71" t="n">
        <f aca="false">R468/1</f>
        <v>0</v>
      </c>
      <c r="S470" s="71" t="n">
        <f aca="false">S468/1</f>
        <v>11550</v>
      </c>
      <c r="T470" s="71" t="n">
        <f aca="false">T468/1</f>
        <v>4400</v>
      </c>
      <c r="U470" s="71" t="n">
        <f aca="false">U468/1</f>
        <v>4400</v>
      </c>
      <c r="V470" s="71" t="n">
        <f aca="false">V468/1</f>
        <v>19800</v>
      </c>
      <c r="W470" s="71" t="n">
        <f aca="false">W468/1</f>
        <v>4400</v>
      </c>
      <c r="X470" s="71" t="n">
        <f aca="false">X468/1</f>
        <v>15950</v>
      </c>
      <c r="Y470" s="71" t="n">
        <f aca="false">Y468/1</f>
        <v>4400</v>
      </c>
      <c r="Z470" s="71" t="n">
        <f aca="false">Z468/1</f>
        <v>4400</v>
      </c>
      <c r="AA470" s="71" t="n">
        <f aca="false">AA468/1</f>
        <v>4400</v>
      </c>
      <c r="AB470" s="71" t="n">
        <f aca="false">AB468/1</f>
        <v>4400</v>
      </c>
    </row>
    <row r="471" customFormat="false" ht="15" hidden="false" customHeight="false" outlineLevel="0" collapsed="false">
      <c r="A471" s="28" t="s">
        <v>724</v>
      </c>
      <c r="B471" s="58"/>
      <c r="C471" s="66" t="n">
        <f aca="false">P471</f>
        <v>0</v>
      </c>
      <c r="D471" s="66" t="n">
        <f aca="false">AB471</f>
        <v>30.4</v>
      </c>
      <c r="E471" s="72" t="n">
        <f aca="false">IFERROR(E468/AVERAGE(E466:E466)*30.4,0)</f>
        <v>0</v>
      </c>
      <c r="F471" s="72" t="n">
        <f aca="false">IFERROR(F468/AVERAGE(E466:F466)*30.4,0)</f>
        <v>0</v>
      </c>
      <c r="G471" s="72" t="n">
        <f aca="false">IFERROR(G468/AVERAGE(E466:G466)*30.4,0)</f>
        <v>0</v>
      </c>
      <c r="H471" s="72" t="n">
        <f aca="false">IFERROR(H468/AVERAGE(F466:H466)*30.4,0)</f>
        <v>0</v>
      </c>
      <c r="I471" s="72" t="n">
        <f aca="false">IFERROR(I468/AVERAGE(G466:I466)*30.4,0)</f>
        <v>0</v>
      </c>
      <c r="J471" s="72" t="n">
        <f aca="false">IFERROR(J468/AVERAGE(H466:J466)*30.4,0)</f>
        <v>0</v>
      </c>
      <c r="K471" s="72" t="n">
        <f aca="false">IFERROR(K468/AVERAGE(I466:K466)*30.4,0)</f>
        <v>0</v>
      </c>
      <c r="L471" s="72" t="n">
        <f aca="false">IFERROR(L468/AVERAGE(J466:L466)*30.4,0)</f>
        <v>0</v>
      </c>
      <c r="M471" s="72" t="n">
        <f aca="false">IFERROR(M468/AVERAGE(K466:M466)*30.4,0)</f>
        <v>0</v>
      </c>
      <c r="N471" s="72" t="n">
        <f aca="false">IFERROR(N468/AVERAGE(L466:N466)*30.4,0)</f>
        <v>0</v>
      </c>
      <c r="O471" s="72" t="n">
        <f aca="false">IFERROR(O468/AVERAGE(M466:O466)*30.4,0)</f>
        <v>0</v>
      </c>
      <c r="P471" s="72" t="n">
        <f aca="false">IFERROR(P468/AVERAGE(N466:P466)*30.4,0)</f>
        <v>0</v>
      </c>
      <c r="Q471" s="72" t="n">
        <f aca="false">IFERROR(Q468/AVERAGE(O466:Q466)*30.4,0)</f>
        <v>0</v>
      </c>
      <c r="R471" s="72" t="n">
        <f aca="false">IFERROR(R468/AVERAGE(P466:R466)*30.4,0)</f>
        <v>0</v>
      </c>
      <c r="S471" s="72" t="n">
        <f aca="false">IFERROR(S468/AVERAGE(Q466:S466)*30.4,0)</f>
        <v>91.2</v>
      </c>
      <c r="T471" s="72" t="n">
        <f aca="false">IFERROR(T468/AVERAGE(R466:T466)*30.4,0)</f>
        <v>25.1586206896552</v>
      </c>
      <c r="U471" s="72" t="n">
        <f aca="false">IFERROR(U468/AVERAGE(S466:U466)*30.4,0)</f>
        <v>19.7189189189189</v>
      </c>
      <c r="V471" s="72" t="n">
        <f aca="false">IFERROR(V468/AVERAGE(T466:V466)*30.4,0)</f>
        <v>63.1384615384615</v>
      </c>
      <c r="W471" s="72" t="n">
        <f aca="false">IFERROR(W468/AVERAGE(U466:W466)*30.4,0)</f>
        <v>14.0307692307692</v>
      </c>
      <c r="X471" s="72" t="n">
        <f aca="false">IFERROR(X468/AVERAGE(V466:X466)*30.4,0)</f>
        <v>36.2301369863014</v>
      </c>
      <c r="Y471" s="72" t="n">
        <f aca="false">IFERROR(Y468/AVERAGE(W466:Y466)*30.4,0)</f>
        <v>16.2133333333333</v>
      </c>
      <c r="Z471" s="72" t="n">
        <f aca="false">IFERROR(Z468/AVERAGE(X466:Z466)*30.4,0)</f>
        <v>16.2133333333333</v>
      </c>
      <c r="AA471" s="72" t="n">
        <f aca="false">IFERROR(AA468/AVERAGE(Y466:AA466)*30.4,0)</f>
        <v>30.4</v>
      </c>
      <c r="AB471" s="72" t="n">
        <f aca="false">IFERROR(AB468/AVERAGE(Z466:AB466)*30.4,0)</f>
        <v>30.4</v>
      </c>
    </row>
    <row r="473" customFormat="false" ht="15" hidden="false" customHeight="false" outlineLevel="0" collapsed="false">
      <c r="A473" s="22" t="s">
        <v>754</v>
      </c>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row>
    <row r="474" customFormat="false" ht="15" hidden="false" customHeight="false" outlineLevel="0" collapsed="false">
      <c r="A474" s="28" t="s">
        <v>331</v>
      </c>
      <c r="B474" s="58" t="s">
        <v>49</v>
      </c>
      <c r="C474" s="59" t="n">
        <f aca="false">SUM(E474:P474)</f>
        <v>0</v>
      </c>
      <c r="D474" s="59" t="n">
        <f aca="false">SUM(Q474:AB474)</f>
        <v>0</v>
      </c>
      <c r="E474" s="71" t="n">
        <f aca="false">0</f>
        <v>0</v>
      </c>
      <c r="F474" s="71" t="n">
        <f aca="false">0</f>
        <v>0</v>
      </c>
      <c r="G474" s="71" t="n">
        <f aca="false">0</f>
        <v>0</v>
      </c>
      <c r="H474" s="71" t="n">
        <f aca="false">0</f>
        <v>0</v>
      </c>
      <c r="I474" s="71" t="n">
        <f aca="false">0</f>
        <v>0</v>
      </c>
      <c r="J474" s="71" t="n">
        <f aca="false">0</f>
        <v>0</v>
      </c>
      <c r="K474" s="71" t="n">
        <f aca="false">0</f>
        <v>0</v>
      </c>
      <c r="L474" s="71" t="n">
        <f aca="false">0</f>
        <v>0</v>
      </c>
      <c r="M474" s="71" t="n">
        <f aca="false">0</f>
        <v>0</v>
      </c>
      <c r="N474" s="71" t="n">
        <f aca="false">0</f>
        <v>0</v>
      </c>
      <c r="O474" s="71" t="n">
        <f aca="false">0</f>
        <v>0</v>
      </c>
      <c r="P474" s="71" t="n">
        <f aca="false">0</f>
        <v>0</v>
      </c>
      <c r="Q474" s="71" t="n">
        <f aca="false">0</f>
        <v>0</v>
      </c>
      <c r="R474" s="71" t="n">
        <f aca="false">0</f>
        <v>0</v>
      </c>
      <c r="S474" s="71" t="n">
        <f aca="false">0</f>
        <v>0</v>
      </c>
      <c r="T474" s="71" t="n">
        <f aca="false">0</f>
        <v>0</v>
      </c>
      <c r="U474" s="71" t="n">
        <f aca="false">0</f>
        <v>0</v>
      </c>
      <c r="V474" s="71" t="n">
        <f aca="false">0</f>
        <v>0</v>
      </c>
      <c r="W474" s="71" t="n">
        <f aca="false">0</f>
        <v>0</v>
      </c>
      <c r="X474" s="71" t="n">
        <f aca="false">0</f>
        <v>0</v>
      </c>
      <c r="Y474" s="71" t="n">
        <f aca="false">0</f>
        <v>0</v>
      </c>
      <c r="Z474" s="71" t="n">
        <f aca="false">0</f>
        <v>0</v>
      </c>
      <c r="AA474" s="71" t="n">
        <f aca="false">0</f>
        <v>0</v>
      </c>
      <c r="AB474" s="71" t="n">
        <f aca="false">0</f>
        <v>0</v>
      </c>
    </row>
    <row r="475" customFormat="false" ht="15" hidden="false" customHeight="false" outlineLevel="0" collapsed="false">
      <c r="A475" s="28" t="s">
        <v>700</v>
      </c>
      <c r="B475" s="58" t="s">
        <v>51</v>
      </c>
      <c r="C475" s="59" t="n">
        <f aca="false">SUM(E475:P475)</f>
        <v>0</v>
      </c>
      <c r="D475" s="59" t="n">
        <f aca="false">SUM(Q475:AB475)</f>
        <v>744192</v>
      </c>
      <c r="E475" s="60" t="n">
        <f aca="false">Projects!E251+Projects!E268+Projects!E285+Projects!E302</f>
        <v>0</v>
      </c>
      <c r="F475" s="60" t="n">
        <f aca="false">Projects!F251+Projects!F268+Projects!F285+Projects!F302</f>
        <v>0</v>
      </c>
      <c r="G475" s="60" t="n">
        <f aca="false">Projects!G251+Projects!G268+Projects!G285+Projects!G302</f>
        <v>0</v>
      </c>
      <c r="H475" s="60" t="n">
        <f aca="false">Projects!H251+Projects!H268+Projects!H285+Projects!H302</f>
        <v>0</v>
      </c>
      <c r="I475" s="60" t="n">
        <f aca="false">Projects!I251+Projects!I268+Projects!I285+Projects!I302</f>
        <v>0</v>
      </c>
      <c r="J475" s="60" t="n">
        <f aca="false">Projects!J251+Projects!J268+Projects!J285+Projects!J302</f>
        <v>0</v>
      </c>
      <c r="K475" s="60" t="n">
        <f aca="false">Projects!K251+Projects!K268+Projects!K285+Projects!K302</f>
        <v>0</v>
      </c>
      <c r="L475" s="60" t="n">
        <f aca="false">Projects!L251+Projects!L268+Projects!L285+Projects!L302</f>
        <v>0</v>
      </c>
      <c r="M475" s="60" t="n">
        <f aca="false">Projects!M251+Projects!M268+Projects!M285+Projects!M302</f>
        <v>0</v>
      </c>
      <c r="N475" s="60" t="n">
        <f aca="false">Projects!N251+Projects!N268+Projects!N285+Projects!N302</f>
        <v>0</v>
      </c>
      <c r="O475" s="60" t="n">
        <f aca="false">Projects!O251+Projects!O268+Projects!O285+Projects!O302</f>
        <v>0</v>
      </c>
      <c r="P475" s="60" t="n">
        <f aca="false">Projects!P251+Projects!P268+Projects!P285+Projects!P302</f>
        <v>0</v>
      </c>
      <c r="Q475" s="60" t="n">
        <f aca="false">Projects!Q251+Projects!Q268+Projects!Q285+Projects!Q302</f>
        <v>21216</v>
      </c>
      <c r="R475" s="60" t="n">
        <f aca="false">Projects!R251+Projects!R268+Projects!R285+Projects!R302</f>
        <v>50592</v>
      </c>
      <c r="S475" s="60" t="n">
        <f aca="false">Projects!S251+Projects!S268+Projects!S285+Projects!S302</f>
        <v>60384</v>
      </c>
      <c r="T475" s="60" t="n">
        <f aca="false">Projects!T251+Projects!T268+Projects!T285+Projects!T302</f>
        <v>71808</v>
      </c>
      <c r="U475" s="60" t="n">
        <f aca="false">Projects!U251+Projects!U268+Projects!U285+Projects!U302</f>
        <v>71808</v>
      </c>
      <c r="V475" s="60" t="n">
        <f aca="false">Projects!V251+Projects!V268+Projects!V285+Projects!V302</f>
        <v>60384</v>
      </c>
      <c r="W475" s="60" t="n">
        <f aca="false">Projects!W251+Projects!W268+Projects!W285+Projects!W302</f>
        <v>71808</v>
      </c>
      <c r="X475" s="60" t="n">
        <f aca="false">Projects!X251+Projects!X268+Projects!X285+Projects!X302</f>
        <v>71808</v>
      </c>
      <c r="Y475" s="60" t="n">
        <f aca="false">Projects!Y251+Projects!Y268+Projects!Y285+Projects!Y302</f>
        <v>60384</v>
      </c>
      <c r="Z475" s="60" t="n">
        <f aca="false">Projects!Z251+Projects!Z268+Projects!Z285+Projects!Z302</f>
        <v>71808</v>
      </c>
      <c r="AA475" s="60" t="n">
        <f aca="false">Projects!AA251+Projects!AA268+Projects!AA285+Projects!AA302</f>
        <v>71808</v>
      </c>
      <c r="AB475" s="60" t="n">
        <f aca="false">Projects!AB251+Projects!AB268+Projects!AB285+Projects!AB302</f>
        <v>60384</v>
      </c>
    </row>
    <row r="476" customFormat="false" ht="15" hidden="false" customHeight="false" outlineLevel="0" collapsed="false">
      <c r="A476" s="28" t="s">
        <v>333</v>
      </c>
      <c r="B476" s="58" t="s">
        <v>53</v>
      </c>
      <c r="C476" s="59" t="n">
        <f aca="false">SUM(E476:P476)</f>
        <v>0</v>
      </c>
      <c r="D476" s="59" t="n">
        <f aca="false">SUM(Q476:AB476)</f>
        <v>0</v>
      </c>
      <c r="E476" s="71" t="n">
        <f aca="false">0</f>
        <v>0</v>
      </c>
      <c r="F476" s="71" t="n">
        <f aca="false">0</f>
        <v>0</v>
      </c>
      <c r="G476" s="71" t="n">
        <f aca="false">0</f>
        <v>0</v>
      </c>
      <c r="H476" s="71" t="n">
        <f aca="false">0</f>
        <v>0</v>
      </c>
      <c r="I476" s="71" t="n">
        <f aca="false">0</f>
        <v>0</v>
      </c>
      <c r="J476" s="71" t="n">
        <f aca="false">0</f>
        <v>0</v>
      </c>
      <c r="K476" s="71" t="n">
        <f aca="false">0</f>
        <v>0</v>
      </c>
      <c r="L476" s="71" t="n">
        <f aca="false">0</f>
        <v>0</v>
      </c>
      <c r="M476" s="71" t="n">
        <f aca="false">0</f>
        <v>0</v>
      </c>
      <c r="N476" s="71" t="n">
        <f aca="false">0</f>
        <v>0</v>
      </c>
      <c r="O476" s="71" t="n">
        <f aca="false">0</f>
        <v>0</v>
      </c>
      <c r="P476" s="71" t="n">
        <f aca="false">0</f>
        <v>0</v>
      </c>
      <c r="Q476" s="71" t="n">
        <f aca="false">0</f>
        <v>0</v>
      </c>
      <c r="R476" s="71" t="n">
        <f aca="false">0</f>
        <v>0</v>
      </c>
      <c r="S476" s="71" t="n">
        <f aca="false">0</f>
        <v>0</v>
      </c>
      <c r="T476" s="71" t="n">
        <f aca="false">0</f>
        <v>0</v>
      </c>
      <c r="U476" s="71" t="n">
        <f aca="false">0</f>
        <v>0</v>
      </c>
      <c r="V476" s="71" t="n">
        <f aca="false">0</f>
        <v>0</v>
      </c>
      <c r="W476" s="71" t="n">
        <f aca="false">0</f>
        <v>0</v>
      </c>
      <c r="X476" s="71" t="n">
        <f aca="false">0</f>
        <v>0</v>
      </c>
      <c r="Y476" s="71" t="n">
        <f aca="false">0</f>
        <v>0</v>
      </c>
      <c r="Z476" s="71" t="n">
        <f aca="false">0</f>
        <v>0</v>
      </c>
      <c r="AA476" s="71" t="n">
        <f aca="false">0</f>
        <v>0</v>
      </c>
      <c r="AB476" s="71" t="n">
        <f aca="false">0</f>
        <v>0</v>
      </c>
    </row>
    <row r="477" customFormat="false" ht="15" hidden="false" customHeight="false" outlineLevel="0" collapsed="false">
      <c r="A477" s="28" t="s">
        <v>334</v>
      </c>
      <c r="B477" s="58" t="s">
        <v>53</v>
      </c>
      <c r="C477" s="59" t="n">
        <f aca="false">SUM(E477:P477)</f>
        <v>0</v>
      </c>
      <c r="D477" s="59" t="n">
        <f aca="false">SUM(Q477:AB477)</f>
        <v>0</v>
      </c>
      <c r="E477" s="71" t="n">
        <f aca="false">0</f>
        <v>0</v>
      </c>
      <c r="F477" s="71" t="n">
        <f aca="false">0</f>
        <v>0</v>
      </c>
      <c r="G477" s="71" t="n">
        <f aca="false">0</f>
        <v>0</v>
      </c>
      <c r="H477" s="71" t="n">
        <f aca="false">0</f>
        <v>0</v>
      </c>
      <c r="I477" s="71" t="n">
        <f aca="false">0</f>
        <v>0</v>
      </c>
      <c r="J477" s="71" t="n">
        <f aca="false">0</f>
        <v>0</v>
      </c>
      <c r="K477" s="71" t="n">
        <f aca="false">0</f>
        <v>0</v>
      </c>
      <c r="L477" s="71" t="n">
        <f aca="false">0</f>
        <v>0</v>
      </c>
      <c r="M477" s="71" t="n">
        <f aca="false">0</f>
        <v>0</v>
      </c>
      <c r="N477" s="71" t="n">
        <f aca="false">0</f>
        <v>0</v>
      </c>
      <c r="O477" s="71" t="n">
        <f aca="false">0</f>
        <v>0</v>
      </c>
      <c r="P477" s="71" t="n">
        <f aca="false">0</f>
        <v>0</v>
      </c>
      <c r="Q477" s="71" t="n">
        <f aca="false">0</f>
        <v>0</v>
      </c>
      <c r="R477" s="71" t="n">
        <f aca="false">0</f>
        <v>0</v>
      </c>
      <c r="S477" s="71" t="n">
        <f aca="false">0</f>
        <v>0</v>
      </c>
      <c r="T477" s="71" t="n">
        <f aca="false">0</f>
        <v>0</v>
      </c>
      <c r="U477" s="71" t="n">
        <f aca="false">0</f>
        <v>0</v>
      </c>
      <c r="V477" s="71" t="n">
        <f aca="false">0</f>
        <v>0</v>
      </c>
      <c r="W477" s="71" t="n">
        <f aca="false">0</f>
        <v>0</v>
      </c>
      <c r="X477" s="71" t="n">
        <f aca="false">0</f>
        <v>0</v>
      </c>
      <c r="Y477" s="71" t="n">
        <f aca="false">0</f>
        <v>0</v>
      </c>
      <c r="Z477" s="71" t="n">
        <f aca="false">0</f>
        <v>0</v>
      </c>
      <c r="AA477" s="71" t="n">
        <f aca="false">0</f>
        <v>0</v>
      </c>
      <c r="AB477" s="71" t="n">
        <f aca="false">0</f>
        <v>0</v>
      </c>
    </row>
    <row r="478" customFormat="false" ht="15" hidden="false" customHeight="false" outlineLevel="0" collapsed="false">
      <c r="A478" s="28" t="s">
        <v>701</v>
      </c>
      <c r="B478" s="58" t="s">
        <v>51</v>
      </c>
      <c r="C478" s="59" t="n">
        <f aca="false">SUM(E478:P478)</f>
        <v>0</v>
      </c>
      <c r="D478" s="59" t="n">
        <f aca="false">SUM(Q478:AB478)</f>
        <v>0</v>
      </c>
      <c r="E478" s="71" t="n">
        <f aca="false">0</f>
        <v>0</v>
      </c>
      <c r="F478" s="71" t="n">
        <f aca="false">0</f>
        <v>0</v>
      </c>
      <c r="G478" s="71" t="n">
        <f aca="false">0</f>
        <v>0</v>
      </c>
      <c r="H478" s="71" t="n">
        <f aca="false">0</f>
        <v>0</v>
      </c>
      <c r="I478" s="71" t="n">
        <f aca="false">0</f>
        <v>0</v>
      </c>
      <c r="J478" s="71" t="n">
        <f aca="false">0</f>
        <v>0</v>
      </c>
      <c r="K478" s="71" t="n">
        <f aca="false">0</f>
        <v>0</v>
      </c>
      <c r="L478" s="71" t="n">
        <f aca="false">0</f>
        <v>0</v>
      </c>
      <c r="M478" s="71" t="n">
        <f aca="false">0</f>
        <v>0</v>
      </c>
      <c r="N478" s="71" t="n">
        <f aca="false">0</f>
        <v>0</v>
      </c>
      <c r="O478" s="71" t="n">
        <f aca="false">0</f>
        <v>0</v>
      </c>
      <c r="P478" s="71" t="n">
        <f aca="false">0</f>
        <v>0</v>
      </c>
      <c r="Q478" s="71" t="n">
        <f aca="false">0</f>
        <v>0</v>
      </c>
      <c r="R478" s="71" t="n">
        <f aca="false">0</f>
        <v>0</v>
      </c>
      <c r="S478" s="71" t="n">
        <f aca="false">0</f>
        <v>0</v>
      </c>
      <c r="T478" s="71" t="n">
        <f aca="false">0</f>
        <v>0</v>
      </c>
      <c r="U478" s="71" t="n">
        <f aca="false">0</f>
        <v>0</v>
      </c>
      <c r="V478" s="71" t="n">
        <f aca="false">0</f>
        <v>0</v>
      </c>
      <c r="W478" s="71" t="n">
        <f aca="false">0</f>
        <v>0</v>
      </c>
      <c r="X478" s="71" t="n">
        <f aca="false">0</f>
        <v>0</v>
      </c>
      <c r="Y478" s="71" t="n">
        <f aca="false">0</f>
        <v>0</v>
      </c>
      <c r="Z478" s="71" t="n">
        <f aca="false">0</f>
        <v>0</v>
      </c>
      <c r="AA478" s="71" t="n">
        <f aca="false">0</f>
        <v>0</v>
      </c>
      <c r="AB478" s="71" t="n">
        <f aca="false">0</f>
        <v>0</v>
      </c>
    </row>
    <row r="479" customFormat="false" ht="15" hidden="false" customHeight="false" outlineLevel="0" collapsed="false">
      <c r="A479" s="68" t="s">
        <v>743</v>
      </c>
      <c r="B479" s="69"/>
      <c r="C479" s="70" t="n">
        <f aca="false">SUM(E479:P479)</f>
        <v>0</v>
      </c>
      <c r="D479" s="70" t="n">
        <f aca="false">SUM(Q479:AB479)</f>
        <v>744192</v>
      </c>
      <c r="E479" s="70" t="n">
        <f aca="false">SUM(E474:E478)</f>
        <v>0</v>
      </c>
      <c r="F479" s="70" t="n">
        <f aca="false">SUM(F474:F478)</f>
        <v>0</v>
      </c>
      <c r="G479" s="70" t="n">
        <f aca="false">SUM(G474:G478)</f>
        <v>0</v>
      </c>
      <c r="H479" s="70" t="n">
        <f aca="false">SUM(H474:H478)</f>
        <v>0</v>
      </c>
      <c r="I479" s="70" t="n">
        <f aca="false">SUM(I474:I478)</f>
        <v>0</v>
      </c>
      <c r="J479" s="70" t="n">
        <f aca="false">SUM(J474:J478)</f>
        <v>0</v>
      </c>
      <c r="K479" s="70" t="n">
        <f aca="false">SUM(K474:K478)</f>
        <v>0</v>
      </c>
      <c r="L479" s="70" t="n">
        <f aca="false">SUM(L474:L478)</f>
        <v>0</v>
      </c>
      <c r="M479" s="70" t="n">
        <f aca="false">SUM(M474:M478)</f>
        <v>0</v>
      </c>
      <c r="N479" s="70" t="n">
        <f aca="false">SUM(N474:N478)</f>
        <v>0</v>
      </c>
      <c r="O479" s="70" t="n">
        <f aca="false">SUM(O474:O478)</f>
        <v>0</v>
      </c>
      <c r="P479" s="70" t="n">
        <f aca="false">SUM(P474:P478)</f>
        <v>0</v>
      </c>
      <c r="Q479" s="70" t="n">
        <f aca="false">SUM(Q474:Q478)</f>
        <v>21216</v>
      </c>
      <c r="R479" s="70" t="n">
        <f aca="false">SUM(R474:R478)</f>
        <v>50592</v>
      </c>
      <c r="S479" s="70" t="n">
        <f aca="false">SUM(S474:S478)</f>
        <v>60384</v>
      </c>
      <c r="T479" s="70" t="n">
        <f aca="false">SUM(T474:T478)</f>
        <v>71808</v>
      </c>
      <c r="U479" s="70" t="n">
        <f aca="false">SUM(U474:U478)</f>
        <v>71808</v>
      </c>
      <c r="V479" s="70" t="n">
        <f aca="false">SUM(V474:V478)</f>
        <v>60384</v>
      </c>
      <c r="W479" s="70" t="n">
        <f aca="false">SUM(W474:W478)</f>
        <v>71808</v>
      </c>
      <c r="X479" s="70" t="n">
        <f aca="false">SUM(X474:X478)</f>
        <v>71808</v>
      </c>
      <c r="Y479" s="70" t="n">
        <f aca="false">SUM(Y474:Y478)</f>
        <v>60384</v>
      </c>
      <c r="Z479" s="70" t="n">
        <f aca="false">SUM(Z474:Z478)</f>
        <v>71808</v>
      </c>
      <c r="AA479" s="70" t="n">
        <f aca="false">SUM(AA474:AA478)</f>
        <v>71808</v>
      </c>
      <c r="AB479" s="70" t="n">
        <f aca="false">SUM(AB474:AB478)</f>
        <v>60384</v>
      </c>
    </row>
    <row r="480" customFormat="false" ht="15" hidden="false" customHeight="false" outlineLevel="0" collapsed="false">
      <c r="A480" s="28" t="s">
        <v>703</v>
      </c>
      <c r="B480" s="58"/>
      <c r="C480" s="59" t="n">
        <f aca="false">SUM(E480:P480)</f>
        <v>0</v>
      </c>
      <c r="D480" s="59" t="n">
        <f aca="false">SUM(Q480:AB480)</f>
        <v>744192</v>
      </c>
      <c r="E480" s="71" t="n">
        <f aca="false">E479/1</f>
        <v>0</v>
      </c>
      <c r="F480" s="71" t="n">
        <f aca="false">F479/1</f>
        <v>0</v>
      </c>
      <c r="G480" s="71" t="n">
        <f aca="false">G479/1</f>
        <v>0</v>
      </c>
      <c r="H480" s="71" t="n">
        <f aca="false">H479/1</f>
        <v>0</v>
      </c>
      <c r="I480" s="71" t="n">
        <f aca="false">I479/1</f>
        <v>0</v>
      </c>
      <c r="J480" s="71" t="n">
        <f aca="false">J479/1</f>
        <v>0</v>
      </c>
      <c r="K480" s="71" t="n">
        <f aca="false">K479/1</f>
        <v>0</v>
      </c>
      <c r="L480" s="71" t="n">
        <f aca="false">L479/1</f>
        <v>0</v>
      </c>
      <c r="M480" s="71" t="n">
        <f aca="false">M479/1</f>
        <v>0</v>
      </c>
      <c r="N480" s="71" t="n">
        <f aca="false">N479/1</f>
        <v>0</v>
      </c>
      <c r="O480" s="71" t="n">
        <f aca="false">O479/1</f>
        <v>0</v>
      </c>
      <c r="P480" s="71" t="n">
        <f aca="false">P479/1</f>
        <v>0</v>
      </c>
      <c r="Q480" s="71" t="n">
        <f aca="false">Q479/1</f>
        <v>21216</v>
      </c>
      <c r="R480" s="71" t="n">
        <f aca="false">R479/1</f>
        <v>50592</v>
      </c>
      <c r="S480" s="71" t="n">
        <f aca="false">S479/1</f>
        <v>60384</v>
      </c>
      <c r="T480" s="71" t="n">
        <f aca="false">T479/1</f>
        <v>71808</v>
      </c>
      <c r="U480" s="71" t="n">
        <f aca="false">U479/1</f>
        <v>71808</v>
      </c>
      <c r="V480" s="71" t="n">
        <f aca="false">V479/1</f>
        <v>60384</v>
      </c>
      <c r="W480" s="71" t="n">
        <f aca="false">W479/1</f>
        <v>71808</v>
      </c>
      <c r="X480" s="71" t="n">
        <f aca="false">X479/1</f>
        <v>71808</v>
      </c>
      <c r="Y480" s="71" t="n">
        <f aca="false">Y479/1</f>
        <v>60384</v>
      </c>
      <c r="Z480" s="71" t="n">
        <f aca="false">Z479/1</f>
        <v>71808</v>
      </c>
      <c r="AA480" s="71" t="n">
        <f aca="false">AA479/1</f>
        <v>71808</v>
      </c>
      <c r="AB480" s="71" t="n">
        <f aca="false">AB479/1</f>
        <v>60384</v>
      </c>
    </row>
    <row r="481" customFormat="false" ht="15" hidden="false" customHeight="false" outlineLevel="0" collapsed="false">
      <c r="A481" s="28" t="s">
        <v>704</v>
      </c>
      <c r="B481" s="58" t="s">
        <v>51</v>
      </c>
      <c r="C481" s="59" t="n">
        <f aca="false">SUM(E481:P481)</f>
        <v>0</v>
      </c>
      <c r="D481" s="59" t="n">
        <f aca="false">SUM(Q481:AB481)</f>
        <v>0</v>
      </c>
      <c r="E481" s="71" t="n">
        <f aca="false">0</f>
        <v>0</v>
      </c>
      <c r="F481" s="71" t="n">
        <f aca="false">0</f>
        <v>0</v>
      </c>
      <c r="G481" s="71" t="n">
        <f aca="false">0</f>
        <v>0</v>
      </c>
      <c r="H481" s="71" t="n">
        <f aca="false">0</f>
        <v>0</v>
      </c>
      <c r="I481" s="71" t="n">
        <f aca="false">0</f>
        <v>0</v>
      </c>
      <c r="J481" s="71" t="n">
        <f aca="false">0</f>
        <v>0</v>
      </c>
      <c r="K481" s="71" t="n">
        <f aca="false">0</f>
        <v>0</v>
      </c>
      <c r="L481" s="71" t="n">
        <f aca="false">0</f>
        <v>0</v>
      </c>
      <c r="M481" s="71" t="n">
        <f aca="false">0</f>
        <v>0</v>
      </c>
      <c r="N481" s="71" t="n">
        <f aca="false">0</f>
        <v>0</v>
      </c>
      <c r="O481" s="71" t="n">
        <f aca="false">0</f>
        <v>0</v>
      </c>
      <c r="P481" s="71" t="n">
        <f aca="false">0</f>
        <v>0</v>
      </c>
      <c r="Q481" s="71" t="n">
        <f aca="false">0</f>
        <v>0</v>
      </c>
      <c r="R481" s="71" t="n">
        <f aca="false">0</f>
        <v>0</v>
      </c>
      <c r="S481" s="71" t="n">
        <f aca="false">0</f>
        <v>0</v>
      </c>
      <c r="T481" s="71" t="n">
        <f aca="false">0</f>
        <v>0</v>
      </c>
      <c r="U481" s="71" t="n">
        <f aca="false">0</f>
        <v>0</v>
      </c>
      <c r="V481" s="71" t="n">
        <f aca="false">0</f>
        <v>0</v>
      </c>
      <c r="W481" s="71" t="n">
        <f aca="false">0</f>
        <v>0</v>
      </c>
      <c r="X481" s="71" t="n">
        <f aca="false">0</f>
        <v>0</v>
      </c>
      <c r="Y481" s="71" t="n">
        <f aca="false">0</f>
        <v>0</v>
      </c>
      <c r="Z481" s="71" t="n">
        <f aca="false">0</f>
        <v>0</v>
      </c>
      <c r="AA481" s="71" t="n">
        <f aca="false">0</f>
        <v>0</v>
      </c>
      <c r="AB481" s="71" t="n">
        <f aca="false">0</f>
        <v>0</v>
      </c>
    </row>
    <row r="482" customFormat="false" ht="15" hidden="false" customHeight="false" outlineLevel="0" collapsed="false">
      <c r="A482" s="68" t="s">
        <v>705</v>
      </c>
      <c r="B482" s="69" t="s">
        <v>706</v>
      </c>
      <c r="C482" s="70" t="n">
        <f aca="false">SUM(E482:P482)</f>
        <v>0</v>
      </c>
      <c r="D482" s="70" t="n">
        <f aca="false">SUM(Q482:AB482)</f>
        <v>744192</v>
      </c>
      <c r="E482" s="70" t="n">
        <f aca="false">E480-E481</f>
        <v>0</v>
      </c>
      <c r="F482" s="70" t="n">
        <f aca="false">F480-F481</f>
        <v>0</v>
      </c>
      <c r="G482" s="70" t="n">
        <f aca="false">G480-G481</f>
        <v>0</v>
      </c>
      <c r="H482" s="70" t="n">
        <f aca="false">H480-H481</f>
        <v>0</v>
      </c>
      <c r="I482" s="70" t="n">
        <f aca="false">I480-I481</f>
        <v>0</v>
      </c>
      <c r="J482" s="70" t="n">
        <f aca="false">J480-J481</f>
        <v>0</v>
      </c>
      <c r="K482" s="70" t="n">
        <f aca="false">K480-K481</f>
        <v>0</v>
      </c>
      <c r="L482" s="70" t="n">
        <f aca="false">L480-L481</f>
        <v>0</v>
      </c>
      <c r="M482" s="70" t="n">
        <f aca="false">M480-M481</f>
        <v>0</v>
      </c>
      <c r="N482" s="70" t="n">
        <f aca="false">N480-N481</f>
        <v>0</v>
      </c>
      <c r="O482" s="70" t="n">
        <f aca="false">O480-O481</f>
        <v>0</v>
      </c>
      <c r="P482" s="70" t="n">
        <f aca="false">P480-P481</f>
        <v>0</v>
      </c>
      <c r="Q482" s="70" t="n">
        <f aca="false">Q480-Q481</f>
        <v>21216</v>
      </c>
      <c r="R482" s="70" t="n">
        <f aca="false">R480-R481</f>
        <v>50592</v>
      </c>
      <c r="S482" s="70" t="n">
        <f aca="false">S480-S481</f>
        <v>60384</v>
      </c>
      <c r="T482" s="70" t="n">
        <f aca="false">T480-T481</f>
        <v>71808</v>
      </c>
      <c r="U482" s="70" t="n">
        <f aca="false">U480-U481</f>
        <v>71808</v>
      </c>
      <c r="V482" s="70" t="n">
        <f aca="false">V480-V481</f>
        <v>60384</v>
      </c>
      <c r="W482" s="70" t="n">
        <f aca="false">W480-W481</f>
        <v>71808</v>
      </c>
      <c r="X482" s="70" t="n">
        <f aca="false">X480-X481</f>
        <v>71808</v>
      </c>
      <c r="Y482" s="70" t="n">
        <f aca="false">Y480-Y481</f>
        <v>60384</v>
      </c>
      <c r="Z482" s="70" t="n">
        <f aca="false">Z480-Z481</f>
        <v>71808</v>
      </c>
      <c r="AA482" s="70" t="n">
        <f aca="false">AA480-AA481</f>
        <v>71808</v>
      </c>
      <c r="AB482" s="70" t="n">
        <f aca="false">AB480-AB481</f>
        <v>60384</v>
      </c>
    </row>
    <row r="483" customFormat="false" ht="15" hidden="false" customHeight="false" outlineLevel="0" collapsed="false">
      <c r="A483" s="28" t="s">
        <v>707</v>
      </c>
      <c r="B483" s="58" t="s">
        <v>708</v>
      </c>
      <c r="C483" s="66" t="n">
        <f aca="false">SUM(E483:P483)</f>
        <v>0</v>
      </c>
      <c r="D483" s="66" t="n">
        <f aca="false">SUM(Q483:AB483)</f>
        <v>7131.84</v>
      </c>
      <c r="E483" s="67" t="n">
        <f aca="false">Projects!E245+Projects!E262+Projects!E279+Projects!E296</f>
        <v>0</v>
      </c>
      <c r="F483" s="67" t="n">
        <f aca="false">Projects!F245+Projects!F262+Projects!F279+Projects!F296</f>
        <v>0</v>
      </c>
      <c r="G483" s="67" t="n">
        <f aca="false">Projects!G245+Projects!G262+Projects!G279+Projects!G296</f>
        <v>0</v>
      </c>
      <c r="H483" s="67" t="n">
        <f aca="false">Projects!H245+Projects!H262+Projects!H279+Projects!H296</f>
        <v>0</v>
      </c>
      <c r="I483" s="67" t="n">
        <f aca="false">Projects!I245+Projects!I262+Projects!I279+Projects!I296</f>
        <v>0</v>
      </c>
      <c r="J483" s="67" t="n">
        <f aca="false">Projects!J245+Projects!J262+Projects!J279+Projects!J296</f>
        <v>0</v>
      </c>
      <c r="K483" s="67" t="n">
        <f aca="false">Projects!K245+Projects!K262+Projects!K279+Projects!K296</f>
        <v>0</v>
      </c>
      <c r="L483" s="67" t="n">
        <f aca="false">Projects!L245+Projects!L262+Projects!L279+Projects!L296</f>
        <v>0</v>
      </c>
      <c r="M483" s="67" t="n">
        <f aca="false">Projects!M245+Projects!M262+Projects!M279+Projects!M296</f>
        <v>0</v>
      </c>
      <c r="N483" s="67" t="n">
        <f aca="false">Projects!N245+Projects!N262+Projects!N279+Projects!N296</f>
        <v>0</v>
      </c>
      <c r="O483" s="67" t="n">
        <f aca="false">Projects!O245+Projects!O262+Projects!O279+Projects!O296</f>
        <v>0</v>
      </c>
      <c r="P483" s="67" t="n">
        <f aca="false">Projects!P245+Projects!P262+Projects!P279+Projects!P296</f>
        <v>0</v>
      </c>
      <c r="Q483" s="67" t="n">
        <f aca="false">Projects!Q245+Projects!Q262+Projects!Q279+Projects!Q296</f>
        <v>203.32</v>
      </c>
      <c r="R483" s="67" t="n">
        <f aca="false">Projects!R245+Projects!R262+Projects!R279+Projects!R296</f>
        <v>484.84</v>
      </c>
      <c r="S483" s="67" t="n">
        <f aca="false">Projects!S245+Projects!S262+Projects!S279+Projects!S296</f>
        <v>578.68</v>
      </c>
      <c r="T483" s="67" t="n">
        <f aca="false">Projects!T245+Projects!T262+Projects!T279+Projects!T296</f>
        <v>688.16</v>
      </c>
      <c r="U483" s="67" t="n">
        <f aca="false">Projects!U245+Projects!U262+Projects!U279+Projects!U296</f>
        <v>688.16</v>
      </c>
      <c r="V483" s="67" t="n">
        <f aca="false">Projects!V245+Projects!V262+Projects!V279+Projects!V296</f>
        <v>578.68</v>
      </c>
      <c r="W483" s="67" t="n">
        <f aca="false">Projects!W245+Projects!W262+Projects!W279+Projects!W296</f>
        <v>688.16</v>
      </c>
      <c r="X483" s="67" t="n">
        <f aca="false">Projects!X245+Projects!X262+Projects!X279+Projects!X296</f>
        <v>688.16</v>
      </c>
      <c r="Y483" s="67" t="n">
        <f aca="false">Projects!Y245+Projects!Y262+Projects!Y279+Projects!Y296</f>
        <v>578.68</v>
      </c>
      <c r="Z483" s="67" t="n">
        <f aca="false">Projects!Z245+Projects!Z262+Projects!Z279+Projects!Z296</f>
        <v>688.16</v>
      </c>
      <c r="AA483" s="67" t="n">
        <f aca="false">Projects!AA245+Projects!AA262+Projects!AA279+Projects!AA296</f>
        <v>688.16</v>
      </c>
      <c r="AB483" s="67" t="n">
        <f aca="false">Projects!AB245+Projects!AB262+Projects!AB279+Projects!AB296</f>
        <v>578.68</v>
      </c>
    </row>
    <row r="484" customFormat="false" ht="15" hidden="false" customHeight="false" outlineLevel="0" collapsed="false">
      <c r="A484" s="28" t="s">
        <v>709</v>
      </c>
      <c r="B484" s="58" t="s">
        <v>710</v>
      </c>
      <c r="C484" s="59" t="n">
        <f aca="false">SUM(E484:P484)</f>
        <v>0</v>
      </c>
      <c r="D484" s="59" t="n">
        <f aca="false">SUM(Q484:AB484)</f>
        <v>394374.184464851</v>
      </c>
      <c r="E484" s="60" t="n">
        <f aca="false">Projects!E245*Utilisation!E91+Projects!E262*Utilisation!E91+Projects!E279*Utilisation!E91+Projects!E296*Utilisation!E91</f>
        <v>0</v>
      </c>
      <c r="F484" s="60" t="n">
        <f aca="false">Projects!F245*Utilisation!F91+Projects!F262*Utilisation!F91+Projects!F279*Utilisation!F91+Projects!F296*Utilisation!F91</f>
        <v>0</v>
      </c>
      <c r="G484" s="60" t="n">
        <f aca="false">Projects!G245*Utilisation!G91+Projects!G262*Utilisation!G91+Projects!G279*Utilisation!G91+Projects!G296*Utilisation!G91</f>
        <v>0</v>
      </c>
      <c r="H484" s="60" t="n">
        <f aca="false">Projects!H245*Utilisation!H91+Projects!H262*Utilisation!H91+Projects!H279*Utilisation!H91+Projects!H296*Utilisation!H91</f>
        <v>0</v>
      </c>
      <c r="I484" s="60" t="n">
        <f aca="false">Projects!I245*Utilisation!I91+Projects!I262*Utilisation!I91+Projects!I279*Utilisation!I91+Projects!I296*Utilisation!I91</f>
        <v>0</v>
      </c>
      <c r="J484" s="60" t="n">
        <f aca="false">Projects!J245*Utilisation!J91+Projects!J262*Utilisation!J91+Projects!J279*Utilisation!J91+Projects!J296*Utilisation!J91</f>
        <v>0</v>
      </c>
      <c r="K484" s="60" t="n">
        <f aca="false">Projects!K245*Utilisation!K91+Projects!K262*Utilisation!K91+Projects!K279*Utilisation!K91+Projects!K296*Utilisation!K91</f>
        <v>0</v>
      </c>
      <c r="L484" s="60" t="n">
        <f aca="false">Projects!L245*Utilisation!L91+Projects!L262*Utilisation!L91+Projects!L279*Utilisation!L91+Projects!L296*Utilisation!L91</f>
        <v>0</v>
      </c>
      <c r="M484" s="60" t="n">
        <f aca="false">Projects!M245*Utilisation!M91+Projects!M262*Utilisation!M91+Projects!M279*Utilisation!M91+Projects!M296*Utilisation!M91</f>
        <v>0</v>
      </c>
      <c r="N484" s="60" t="n">
        <f aca="false">Projects!N245*Utilisation!N91+Projects!N262*Utilisation!N91+Projects!N279*Utilisation!N91+Projects!N296*Utilisation!N91</f>
        <v>0</v>
      </c>
      <c r="O484" s="60" t="n">
        <f aca="false">Projects!O245*Utilisation!O91+Projects!O262*Utilisation!O91+Projects!O279*Utilisation!O91+Projects!O296*Utilisation!O91</f>
        <v>0</v>
      </c>
      <c r="P484" s="60" t="n">
        <f aca="false">Projects!P245*Utilisation!P91+Projects!P262*Utilisation!P91+Projects!P279*Utilisation!P91+Projects!P296*Utilisation!P91</f>
        <v>0</v>
      </c>
      <c r="Q484" s="60" t="n">
        <f aca="false">Projects!Q245*Utilisation!Q91+Projects!Q262*Utilisation!Q91+Projects!Q279*Utilisation!Q91+Projects!Q296*Utilisation!Q91</f>
        <v>11243.123679919</v>
      </c>
      <c r="R484" s="60" t="n">
        <f aca="false">Projects!R245*Utilisation!R91+Projects!R262*Utilisation!R91+Projects!R279*Utilisation!R91+Projects!R296*Utilisation!R91</f>
        <v>26810.5256982684</v>
      </c>
      <c r="S484" s="60" t="n">
        <f aca="false">Projects!S245*Utilisation!S91+Projects!S262*Utilisation!S91+Projects!S279*Utilisation!S91+Projects!S296*Utilisation!S91</f>
        <v>31999.6597043848</v>
      </c>
      <c r="T484" s="60" t="n">
        <f aca="false">Projects!T245*Utilisation!T91+Projects!T262*Utilisation!T91+Projects!T279*Utilisation!T91+Projects!T296*Utilisation!T91</f>
        <v>38053.6493781873</v>
      </c>
      <c r="U484" s="60" t="n">
        <f aca="false">Projects!U245*Utilisation!U91+Projects!U262*Utilisation!U91+Projects!U279*Utilisation!U91+Projects!U296*Utilisation!U91</f>
        <v>38053.6493781873</v>
      </c>
      <c r="V484" s="60" t="n">
        <f aca="false">Projects!V245*Utilisation!V91+Projects!V262*Utilisation!V91+Projects!V279*Utilisation!V91+Projects!V296*Utilisation!V91</f>
        <v>31999.6597043848</v>
      </c>
      <c r="W484" s="60" t="n">
        <f aca="false">Projects!W245*Utilisation!W91+Projects!W262*Utilisation!W91+Projects!W279*Utilisation!W91+Projects!W296*Utilisation!W91</f>
        <v>38053.6493781873</v>
      </c>
      <c r="X484" s="60" t="n">
        <f aca="false">Projects!X245*Utilisation!X91+Projects!X262*Utilisation!X91+Projects!X279*Utilisation!X91+Projects!X296*Utilisation!X91</f>
        <v>38053.6493781873</v>
      </c>
      <c r="Y484" s="60" t="n">
        <f aca="false">Projects!Y245*Utilisation!Y91+Projects!Y262*Utilisation!Y91+Projects!Y279*Utilisation!Y91+Projects!Y296*Utilisation!Y91</f>
        <v>31999.6597043848</v>
      </c>
      <c r="Z484" s="60" t="n">
        <f aca="false">Projects!Z245*Utilisation!Z91+Projects!Z262*Utilisation!Z91+Projects!Z279*Utilisation!Z91+Projects!Z296*Utilisation!Z91</f>
        <v>38053.6493781873</v>
      </c>
      <c r="AA484" s="60" t="n">
        <f aca="false">Projects!AA245*Utilisation!AA91+Projects!AA262*Utilisation!AA91+Projects!AA279*Utilisation!AA91+Projects!AA296*Utilisation!AA91</f>
        <v>38053.6493781873</v>
      </c>
      <c r="AB484" s="60" t="n">
        <f aca="false">Projects!AB245*Utilisation!AB91+Projects!AB262*Utilisation!AB91+Projects!AB279*Utilisation!AB91+Projects!AB296*Utilisation!AB91</f>
        <v>31999.6597043848</v>
      </c>
    </row>
    <row r="485" customFormat="false" ht="15" hidden="false" customHeight="false" outlineLevel="0" collapsed="false">
      <c r="A485" s="28" t="s">
        <v>711</v>
      </c>
      <c r="B485" s="58" t="s">
        <v>53</v>
      </c>
      <c r="C485" s="59" t="n">
        <f aca="false">SUM(E485:P485)</f>
        <v>0</v>
      </c>
      <c r="D485" s="59" t="n">
        <f aca="false">SUM(Q485:AB485)</f>
        <v>0</v>
      </c>
      <c r="E485" s="71" t="n">
        <f aca="false">0</f>
        <v>0</v>
      </c>
      <c r="F485" s="71" t="n">
        <f aca="false">0</f>
        <v>0</v>
      </c>
      <c r="G485" s="71" t="n">
        <f aca="false">0</f>
        <v>0</v>
      </c>
      <c r="H485" s="71" t="n">
        <f aca="false">0</f>
        <v>0</v>
      </c>
      <c r="I485" s="71" t="n">
        <f aca="false">0</f>
        <v>0</v>
      </c>
      <c r="J485" s="71" t="n">
        <f aca="false">0</f>
        <v>0</v>
      </c>
      <c r="K485" s="71" t="n">
        <f aca="false">0</f>
        <v>0</v>
      </c>
      <c r="L485" s="71" t="n">
        <f aca="false">0</f>
        <v>0</v>
      </c>
      <c r="M485" s="71" t="n">
        <f aca="false">0</f>
        <v>0</v>
      </c>
      <c r="N485" s="71" t="n">
        <f aca="false">0</f>
        <v>0</v>
      </c>
      <c r="O485" s="71" t="n">
        <f aca="false">0</f>
        <v>0</v>
      </c>
      <c r="P485" s="71" t="n">
        <f aca="false">0</f>
        <v>0</v>
      </c>
      <c r="Q485" s="71" t="n">
        <f aca="false">0</f>
        <v>0</v>
      </c>
      <c r="R485" s="71" t="n">
        <f aca="false">0</f>
        <v>0</v>
      </c>
      <c r="S485" s="71" t="n">
        <f aca="false">0</f>
        <v>0</v>
      </c>
      <c r="T485" s="71" t="n">
        <f aca="false">0</f>
        <v>0</v>
      </c>
      <c r="U485" s="71" t="n">
        <f aca="false">0</f>
        <v>0</v>
      </c>
      <c r="V485" s="71" t="n">
        <f aca="false">0</f>
        <v>0</v>
      </c>
      <c r="W485" s="71" t="n">
        <f aca="false">0</f>
        <v>0</v>
      </c>
      <c r="X485" s="71" t="n">
        <f aca="false">0</f>
        <v>0</v>
      </c>
      <c r="Y485" s="71" t="n">
        <f aca="false">0</f>
        <v>0</v>
      </c>
      <c r="Z485" s="71" t="n">
        <f aca="false">0</f>
        <v>0</v>
      </c>
      <c r="AA485" s="71" t="n">
        <f aca="false">0</f>
        <v>0</v>
      </c>
      <c r="AB485" s="71" t="n">
        <f aca="false">0</f>
        <v>0</v>
      </c>
    </row>
    <row r="486" customFormat="false" ht="15" hidden="false" customHeight="false" outlineLevel="0" collapsed="false">
      <c r="A486" s="28" t="s">
        <v>712</v>
      </c>
      <c r="B486" s="58" t="s">
        <v>713</v>
      </c>
      <c r="C486" s="59" t="n">
        <f aca="false">SUM(E486:P486)</f>
        <v>0</v>
      </c>
      <c r="D486" s="59" t="n">
        <f aca="false">SUM(Q486:AB486)</f>
        <v>754800</v>
      </c>
      <c r="E486" s="60" t="n">
        <f aca="false">Projects!E253+Projects!E270+Projects!E287+Projects!E304+E477+E485+E478</f>
        <v>0</v>
      </c>
      <c r="F486" s="60" t="n">
        <f aca="false">Projects!F253+Projects!F270+Projects!F287+Projects!F304+F477+F485+F478</f>
        <v>0</v>
      </c>
      <c r="G486" s="60" t="n">
        <f aca="false">Projects!G253+Projects!G270+Projects!G287+Projects!G304+G477+G485+G478</f>
        <v>0</v>
      </c>
      <c r="H486" s="60" t="n">
        <f aca="false">Projects!H253+Projects!H270+Projects!H287+Projects!H304+H477+H485+H478</f>
        <v>0</v>
      </c>
      <c r="I486" s="60" t="n">
        <f aca="false">Projects!I253+Projects!I270+Projects!I287+Projects!I304+I477+I485+I478</f>
        <v>0</v>
      </c>
      <c r="J486" s="60" t="n">
        <f aca="false">Projects!J253+Projects!J270+Projects!J287+Projects!J304+J477+J485+J478</f>
        <v>0</v>
      </c>
      <c r="K486" s="60" t="n">
        <f aca="false">Projects!K253+Projects!K270+Projects!K287+Projects!K304+K477+K485+K478</f>
        <v>0</v>
      </c>
      <c r="L486" s="60" t="n">
        <f aca="false">Projects!L253+Projects!L270+Projects!L287+Projects!L304+L477+L485+L478</f>
        <v>0</v>
      </c>
      <c r="M486" s="60" t="n">
        <f aca="false">Projects!M253+Projects!M270+Projects!M287+Projects!M304+M477+M485+M478</f>
        <v>0</v>
      </c>
      <c r="N486" s="60" t="n">
        <f aca="false">Projects!N253+Projects!N270+Projects!N287+Projects!N304+N477+N485+N478</f>
        <v>0</v>
      </c>
      <c r="O486" s="60" t="n">
        <f aca="false">Projects!O253+Projects!O270+Projects!O287+Projects!O304+O477+O485+O478</f>
        <v>0</v>
      </c>
      <c r="P486" s="60" t="n">
        <f aca="false">Projects!P253+Projects!P270+Projects!P287+Projects!P304+P477+P485+P478</f>
        <v>0</v>
      </c>
      <c r="Q486" s="60" t="n">
        <f aca="false">Projects!Q253+Projects!Q270+Projects!Q287+Projects!Q304+Q477+Q485+Q478</f>
        <v>61200</v>
      </c>
      <c r="R486" s="60" t="n">
        <f aca="false">Projects!R253+Projects!R270+Projects!R287+Projects!R304+R477+R485+R478</f>
        <v>0</v>
      </c>
      <c r="S486" s="60" t="n">
        <f aca="false">Projects!S253+Projects!S270+Projects!S287+Projects!S304+S477+S485+S478</f>
        <v>81600</v>
      </c>
      <c r="T486" s="60" t="n">
        <f aca="false">Projects!T253+Projects!T270+Projects!T287+Projects!T304+T477+T485+T478</f>
        <v>61200</v>
      </c>
      <c r="U486" s="60" t="n">
        <f aca="false">Projects!U253+Projects!U270+Projects!U287+Projects!U304+U477+U485+U478</f>
        <v>61200</v>
      </c>
      <c r="V486" s="60" t="n">
        <f aca="false">Projects!V253+Projects!V270+Projects!V287+Projects!V304+V477+V485+V478</f>
        <v>81600</v>
      </c>
      <c r="W486" s="60" t="n">
        <f aca="false">Projects!W253+Projects!W270+Projects!W287+Projects!W304+W477+W485+W478</f>
        <v>61200</v>
      </c>
      <c r="X486" s="60" t="n">
        <f aca="false">Projects!X253+Projects!X270+Projects!X287+Projects!X304+X477+X485+X478</f>
        <v>61200</v>
      </c>
      <c r="Y486" s="60" t="n">
        <f aca="false">Projects!Y253+Projects!Y270+Projects!Y287+Projects!Y304+Y477+Y485+Y478</f>
        <v>81600</v>
      </c>
      <c r="Z486" s="60" t="n">
        <f aca="false">Projects!Z253+Projects!Z270+Projects!Z287+Projects!Z304+Z477+Z485+Z478</f>
        <v>61200</v>
      </c>
      <c r="AA486" s="60" t="n">
        <f aca="false">Projects!AA253+Projects!AA270+Projects!AA287+Projects!AA304+AA477+AA485+AA478</f>
        <v>61200</v>
      </c>
      <c r="AB486" s="60" t="n">
        <f aca="false">Projects!AB253+Projects!AB270+Projects!AB287+Projects!AB304+AB477+AB485+AB478</f>
        <v>81600</v>
      </c>
    </row>
    <row r="487" customFormat="false" ht="15" hidden="false" customHeight="false" outlineLevel="0" collapsed="false">
      <c r="A487" s="28" t="s">
        <v>714</v>
      </c>
      <c r="B487" s="58" t="s">
        <v>715</v>
      </c>
      <c r="C487" s="59" t="n">
        <f aca="false">SUM(E487:P487)</f>
        <v>0</v>
      </c>
      <c r="D487" s="59" t="n">
        <f aca="false">SUM(Q487:AB487)</f>
        <v>0</v>
      </c>
      <c r="E487" s="60" t="n">
        <f aca="false">E486*Client_Register!$F$28</f>
        <v>0</v>
      </c>
      <c r="F487" s="60" t="n">
        <f aca="false">F486*Client_Register!$F$28</f>
        <v>0</v>
      </c>
      <c r="G487" s="60" t="n">
        <f aca="false">G486*Client_Register!$F$28</f>
        <v>0</v>
      </c>
      <c r="H487" s="60" t="n">
        <f aca="false">H486*Client_Register!$F$28</f>
        <v>0</v>
      </c>
      <c r="I487" s="60" t="n">
        <f aca="false">I486*Client_Register!$F$28</f>
        <v>0</v>
      </c>
      <c r="J487" s="60" t="n">
        <f aca="false">J486*Client_Register!$F$28</f>
        <v>0</v>
      </c>
      <c r="K487" s="60" t="n">
        <f aca="false">K486*Client_Register!$F$28</f>
        <v>0</v>
      </c>
      <c r="L487" s="60" t="n">
        <f aca="false">L486*Client_Register!$F$28</f>
        <v>0</v>
      </c>
      <c r="M487" s="60" t="n">
        <f aca="false">M486*Client_Register!$F$28</f>
        <v>0</v>
      </c>
      <c r="N487" s="60" t="n">
        <f aca="false">N486*Client_Register!$F$28</f>
        <v>0</v>
      </c>
      <c r="O487" s="60" t="n">
        <f aca="false">O486*Client_Register!$F$28</f>
        <v>0</v>
      </c>
      <c r="P487" s="60" t="n">
        <f aca="false">P486*Client_Register!$F$28</f>
        <v>0</v>
      </c>
      <c r="Q487" s="60" t="n">
        <f aca="false">Q486*Client_Register!$F$28</f>
        <v>0</v>
      </c>
      <c r="R487" s="60" t="n">
        <f aca="false">R486*Client_Register!$F$28</f>
        <v>0</v>
      </c>
      <c r="S487" s="60" t="n">
        <f aca="false">S486*Client_Register!$F$28</f>
        <v>0</v>
      </c>
      <c r="T487" s="60" t="n">
        <f aca="false">T486*Client_Register!$F$28</f>
        <v>0</v>
      </c>
      <c r="U487" s="60" t="n">
        <f aca="false">U486*Client_Register!$F$28</f>
        <v>0</v>
      </c>
      <c r="V487" s="60" t="n">
        <f aca="false">V486*Client_Register!$F$28</f>
        <v>0</v>
      </c>
      <c r="W487" s="60" t="n">
        <f aca="false">W486*Client_Register!$F$28</f>
        <v>0</v>
      </c>
      <c r="X487" s="60" t="n">
        <f aca="false">X486*Client_Register!$F$28</f>
        <v>0</v>
      </c>
      <c r="Y487" s="60" t="n">
        <f aca="false">Y486*Client_Register!$F$28</f>
        <v>0</v>
      </c>
      <c r="Z487" s="60" t="n">
        <f aca="false">Z486*Client_Register!$F$28</f>
        <v>0</v>
      </c>
      <c r="AA487" s="60" t="n">
        <f aca="false">AA486*Client_Register!$F$28</f>
        <v>0</v>
      </c>
      <c r="AB487" s="60" t="n">
        <f aca="false">AB486*Client_Register!$F$28</f>
        <v>0</v>
      </c>
    </row>
    <row r="488" customFormat="false" ht="15" hidden="false" customHeight="false" outlineLevel="0" collapsed="false">
      <c r="A488" s="68" t="s">
        <v>716</v>
      </c>
      <c r="B488" s="69"/>
      <c r="C488" s="70" t="n">
        <f aca="false">SUM(E488:P488)</f>
        <v>0</v>
      </c>
      <c r="D488" s="70" t="n">
        <f aca="false">SUM(Q488:AB488)</f>
        <v>754800</v>
      </c>
      <c r="E488" s="70" t="n">
        <f aca="false">E486+E487</f>
        <v>0</v>
      </c>
      <c r="F488" s="70" t="n">
        <f aca="false">F486+F487</f>
        <v>0</v>
      </c>
      <c r="G488" s="70" t="n">
        <f aca="false">G486+G487</f>
        <v>0</v>
      </c>
      <c r="H488" s="70" t="n">
        <f aca="false">H486+H487</f>
        <v>0</v>
      </c>
      <c r="I488" s="70" t="n">
        <f aca="false">I486+I487</f>
        <v>0</v>
      </c>
      <c r="J488" s="70" t="n">
        <f aca="false">J486+J487</f>
        <v>0</v>
      </c>
      <c r="K488" s="70" t="n">
        <f aca="false">K486+K487</f>
        <v>0</v>
      </c>
      <c r="L488" s="70" t="n">
        <f aca="false">L486+L487</f>
        <v>0</v>
      </c>
      <c r="M488" s="70" t="n">
        <f aca="false">M486+M487</f>
        <v>0</v>
      </c>
      <c r="N488" s="70" t="n">
        <f aca="false">N486+N487</f>
        <v>0</v>
      </c>
      <c r="O488" s="70" t="n">
        <f aca="false">O486+O487</f>
        <v>0</v>
      </c>
      <c r="P488" s="70" t="n">
        <f aca="false">P486+P487</f>
        <v>0</v>
      </c>
      <c r="Q488" s="70" t="n">
        <f aca="false">Q486+Q487</f>
        <v>61200</v>
      </c>
      <c r="R488" s="70" t="n">
        <f aca="false">R486+R487</f>
        <v>0</v>
      </c>
      <c r="S488" s="70" t="n">
        <f aca="false">S486+S487</f>
        <v>81600</v>
      </c>
      <c r="T488" s="70" t="n">
        <f aca="false">T486+T487</f>
        <v>61200</v>
      </c>
      <c r="U488" s="70" t="n">
        <f aca="false">U486+U487</f>
        <v>61200</v>
      </c>
      <c r="V488" s="70" t="n">
        <f aca="false">V486+V487</f>
        <v>81600</v>
      </c>
      <c r="W488" s="70" t="n">
        <f aca="false">W486+W487</f>
        <v>61200</v>
      </c>
      <c r="X488" s="70" t="n">
        <f aca="false">X486+X487</f>
        <v>61200</v>
      </c>
      <c r="Y488" s="70" t="n">
        <f aca="false">Y486+Y487</f>
        <v>81600</v>
      </c>
      <c r="Z488" s="70" t="n">
        <f aca="false">Z486+Z487</f>
        <v>61200</v>
      </c>
      <c r="AA488" s="70" t="n">
        <f aca="false">AA486+AA487</f>
        <v>61200</v>
      </c>
      <c r="AB488" s="70" t="n">
        <f aca="false">AB486+AB487</f>
        <v>81600</v>
      </c>
    </row>
    <row r="489" customFormat="false" ht="15" hidden="false" customHeight="false" outlineLevel="0" collapsed="false">
      <c r="A489" s="28" t="s">
        <v>717</v>
      </c>
      <c r="B489" s="58" t="s">
        <v>718</v>
      </c>
      <c r="C489" s="59" t="n">
        <f aca="false">SUM(E489:P489)</f>
        <v>0</v>
      </c>
      <c r="D489" s="59" t="n">
        <f aca="false">SUM(Q489:AB489)</f>
        <v>673200</v>
      </c>
      <c r="E489" s="60" t="n">
        <f aca="false">IF(E$5="A",0,Client_Register!$T$28+E488-(E488*MIN(1,Client_Register!$J$28/30)+0*MIN(1,MAX(0,(Client_Register!$J$28-30)/30))+0*MIN(1,MAX(0,(Client_Register!$J$28-60)/30))))</f>
        <v>0</v>
      </c>
      <c r="F489" s="60" t="n">
        <f aca="false">IF(F$5="A",0,E490+F488-(F488*MIN(1,Client_Register!$J$28/30)+E488*MIN(1,MAX(0,(Client_Register!$J$28-30)/30))+0*MIN(1,MAX(0,(Client_Register!$J$28-60)/30))))</f>
        <v>0</v>
      </c>
      <c r="G489" s="60" t="n">
        <f aca="false">IF(G$5="A",0,F490+G488-(G488*MIN(1,Client_Register!$J$28/30)+F488*MIN(1,MAX(0,(Client_Register!$J$28-30)/30))+E488*MIN(1,MAX(0,(Client_Register!$J$28-60)/30))))</f>
        <v>0</v>
      </c>
      <c r="H489" s="60" t="n">
        <f aca="false">IF(H$5="A",0,G490+H488-(H488*MIN(1,Client_Register!$J$28/30)+G488*MIN(1,MAX(0,(Client_Register!$J$28-30)/30))+F488*MIN(1,MAX(0,(Client_Register!$J$28-60)/30))))</f>
        <v>0</v>
      </c>
      <c r="I489" s="60" t="n">
        <f aca="false">IF(I$5="A",0,H490+I488-(I488*MIN(1,Client_Register!$J$28/30)+H488*MIN(1,MAX(0,(Client_Register!$J$28-30)/30))+G488*MIN(1,MAX(0,(Client_Register!$J$28-60)/30))))</f>
        <v>0</v>
      </c>
      <c r="J489" s="60" t="n">
        <f aca="false">IF(J$5="A",0,I490+J488-(J488*MIN(1,Client_Register!$J$28/30)+I488*MIN(1,MAX(0,(Client_Register!$J$28-30)/30))+H488*MIN(1,MAX(0,(Client_Register!$J$28-60)/30))))</f>
        <v>0</v>
      </c>
      <c r="K489" s="60" t="n">
        <f aca="false">IF(K$5="A",0,J490+K488-(K488*MIN(1,Client_Register!$J$28/30)+J488*MIN(1,MAX(0,(Client_Register!$J$28-30)/30))+I488*MIN(1,MAX(0,(Client_Register!$J$28-60)/30))))</f>
        <v>0</v>
      </c>
      <c r="L489" s="60" t="n">
        <f aca="false">IF(L$5="A",0,K490+L488-(L488*MIN(1,Client_Register!$J$28/30)+K488*MIN(1,MAX(0,(Client_Register!$J$28-30)/30))+J488*MIN(1,MAX(0,(Client_Register!$J$28-60)/30))))</f>
        <v>0</v>
      </c>
      <c r="M489" s="60" t="n">
        <f aca="false">IF(M$5="A",0,L490+M488-(M488*MIN(1,Client_Register!$J$28/30)+L488*MIN(1,MAX(0,(Client_Register!$J$28-30)/30))+K488*MIN(1,MAX(0,(Client_Register!$J$28-60)/30))))</f>
        <v>0</v>
      </c>
      <c r="N489" s="60" t="n">
        <f aca="false">IF(N$5="A",0,M490+N488-(N488*MIN(1,Client_Register!$J$28/30)+M488*MIN(1,MAX(0,(Client_Register!$J$28-30)/30))+L488*MIN(1,MAX(0,(Client_Register!$J$28-60)/30))))</f>
        <v>0</v>
      </c>
      <c r="O489" s="60" t="n">
        <f aca="false">IF(O$5="A",0,N490+O488-(O488*MIN(1,Client_Register!$J$28/30)+N488*MIN(1,MAX(0,(Client_Register!$J$28-30)/30))+M488*MIN(1,MAX(0,(Client_Register!$J$28-60)/30))))</f>
        <v>0</v>
      </c>
      <c r="P489" s="60" t="n">
        <f aca="false">IF(P$5="A",0,O490+P488-(P488*MIN(1,Client_Register!$J$28/30)+O488*MIN(1,MAX(0,(Client_Register!$J$28-30)/30))+N488*MIN(1,MAX(0,(Client_Register!$J$28-60)/30))))</f>
        <v>0</v>
      </c>
      <c r="Q489" s="60" t="n">
        <f aca="false">IF(Q$5="A",0,P490+Q488-(Q488*MIN(1,Client_Register!$J$28/30)+P488*MIN(1,MAX(0,(Client_Register!$J$28-30)/30))+O488*MIN(1,MAX(0,(Client_Register!$J$28-60)/30))))</f>
        <v>0</v>
      </c>
      <c r="R489" s="60" t="n">
        <f aca="false">IF(R$5="A",0,Q490+R488-(R488*MIN(1,Client_Register!$J$28/30)+Q488*MIN(1,MAX(0,(Client_Register!$J$28-30)/30))+P488*MIN(1,MAX(0,(Client_Register!$J$28-60)/30))))</f>
        <v>61200</v>
      </c>
      <c r="S489" s="60" t="n">
        <f aca="false">IF(S$5="A",0,R490+S488-(S488*MIN(1,Client_Register!$J$28/30)+R488*MIN(1,MAX(0,(Client_Register!$J$28-30)/30))+Q488*MIN(1,MAX(0,(Client_Register!$J$28-60)/30))))</f>
        <v>0</v>
      </c>
      <c r="T489" s="60" t="n">
        <f aca="false">IF(T$5="A",0,S490+T488-(T488*MIN(1,Client_Register!$J$28/30)+S488*MIN(1,MAX(0,(Client_Register!$J$28-30)/30))+R488*MIN(1,MAX(0,(Client_Register!$J$28-60)/30))))</f>
        <v>81600</v>
      </c>
      <c r="U489" s="60" t="n">
        <f aca="false">IF(U$5="A",0,T490+U488-(U488*MIN(1,Client_Register!$J$28/30)+T488*MIN(1,MAX(0,(Client_Register!$J$28-30)/30))+S488*MIN(1,MAX(0,(Client_Register!$J$28-60)/30))))</f>
        <v>61200</v>
      </c>
      <c r="V489" s="60" t="n">
        <f aca="false">IF(V$5="A",0,U490+V488-(V488*MIN(1,Client_Register!$J$28/30)+U488*MIN(1,MAX(0,(Client_Register!$J$28-30)/30))+T488*MIN(1,MAX(0,(Client_Register!$J$28-60)/30))))</f>
        <v>61200</v>
      </c>
      <c r="W489" s="60" t="n">
        <f aca="false">IF(W$5="A",0,V490+W488-(W488*MIN(1,Client_Register!$J$28/30)+V488*MIN(1,MAX(0,(Client_Register!$J$28-30)/30))+U488*MIN(1,MAX(0,(Client_Register!$J$28-60)/30))))</f>
        <v>81600</v>
      </c>
      <c r="X489" s="60" t="n">
        <f aca="false">IF(X$5="A",0,W490+X488-(X488*MIN(1,Client_Register!$J$28/30)+W488*MIN(1,MAX(0,(Client_Register!$J$28-30)/30))+V488*MIN(1,MAX(0,(Client_Register!$J$28-60)/30))))</f>
        <v>61200</v>
      </c>
      <c r="Y489" s="60" t="n">
        <f aca="false">IF(Y$5="A",0,X490+Y488-(Y488*MIN(1,Client_Register!$J$28/30)+X488*MIN(1,MAX(0,(Client_Register!$J$28-30)/30))+W488*MIN(1,MAX(0,(Client_Register!$J$28-60)/30))))</f>
        <v>61200</v>
      </c>
      <c r="Z489" s="60" t="n">
        <f aca="false">IF(Z$5="A",0,Y490+Z488-(Z488*MIN(1,Client_Register!$J$28/30)+Y488*MIN(1,MAX(0,(Client_Register!$J$28-30)/30))+X488*MIN(1,MAX(0,(Client_Register!$J$28-60)/30))))</f>
        <v>81600</v>
      </c>
      <c r="AA489" s="60" t="n">
        <f aca="false">IF(AA$5="A",0,Z490+AA488-(AA488*MIN(1,Client_Register!$J$28/30)+Z488*MIN(1,MAX(0,(Client_Register!$J$28-30)/30))+Y488*MIN(1,MAX(0,(Client_Register!$J$28-60)/30))))</f>
        <v>61200</v>
      </c>
      <c r="AB489" s="60" t="n">
        <f aca="false">IF(AB$5="A",0,AA490+AB488-(AB488*MIN(1,Client_Register!$J$28/30)+AA488*MIN(1,MAX(0,(Client_Register!$J$28-30)/30))+Z488*MIN(1,MAX(0,(Client_Register!$J$28-60)/30))))</f>
        <v>61200</v>
      </c>
    </row>
    <row r="490" customFormat="false" ht="15" hidden="false" customHeight="false" outlineLevel="0" collapsed="false">
      <c r="A490" s="68" t="s">
        <v>719</v>
      </c>
      <c r="B490" s="69" t="s">
        <v>720</v>
      </c>
      <c r="C490" s="70" t="n">
        <f aca="false">P490</f>
        <v>0</v>
      </c>
      <c r="D490" s="70" t="n">
        <f aca="false">AB490</f>
        <v>81600</v>
      </c>
      <c r="E490" s="74" t="n">
        <f aca="false">Client_Register!$T$28+E488-E489</f>
        <v>0</v>
      </c>
      <c r="F490" s="70" t="n">
        <f aca="false">E490+F488-F489</f>
        <v>0</v>
      </c>
      <c r="G490" s="70" t="n">
        <f aca="false">F490+G488-G489</f>
        <v>0</v>
      </c>
      <c r="H490" s="70" t="n">
        <f aca="false">G490+H488-H489</f>
        <v>0</v>
      </c>
      <c r="I490" s="70" t="n">
        <f aca="false">H490+I488-I489</f>
        <v>0</v>
      </c>
      <c r="J490" s="70" t="n">
        <f aca="false">I490+J488-J489</f>
        <v>0</v>
      </c>
      <c r="K490" s="70" t="n">
        <f aca="false">J490+K488-K489</f>
        <v>0</v>
      </c>
      <c r="L490" s="70" t="n">
        <f aca="false">K490+L488-L489</f>
        <v>0</v>
      </c>
      <c r="M490" s="70" t="n">
        <f aca="false">L490+M488-M489</f>
        <v>0</v>
      </c>
      <c r="N490" s="70" t="n">
        <f aca="false">M490+N488-N489</f>
        <v>0</v>
      </c>
      <c r="O490" s="70" t="n">
        <f aca="false">N490+O488-O489</f>
        <v>0</v>
      </c>
      <c r="P490" s="70" t="n">
        <f aca="false">O490+P488-P489</f>
        <v>0</v>
      </c>
      <c r="Q490" s="70" t="n">
        <f aca="false">P490+Q488-Q489</f>
        <v>61200</v>
      </c>
      <c r="R490" s="70" t="n">
        <f aca="false">Q490+R488-R489</f>
        <v>0</v>
      </c>
      <c r="S490" s="70" t="n">
        <f aca="false">R490+S488-S489</f>
        <v>81600</v>
      </c>
      <c r="T490" s="70" t="n">
        <f aca="false">S490+T488-T489</f>
        <v>61200</v>
      </c>
      <c r="U490" s="70" t="n">
        <f aca="false">T490+U488-U489</f>
        <v>61200</v>
      </c>
      <c r="V490" s="70" t="n">
        <f aca="false">U490+V488-V489</f>
        <v>81600</v>
      </c>
      <c r="W490" s="70" t="n">
        <f aca="false">V490+W488-W489</f>
        <v>61200</v>
      </c>
      <c r="X490" s="70" t="n">
        <f aca="false">W490+X488-X489</f>
        <v>61200</v>
      </c>
      <c r="Y490" s="70" t="n">
        <f aca="false">X490+Y488-Y489</f>
        <v>81600</v>
      </c>
      <c r="Z490" s="70" t="n">
        <f aca="false">Y490+Z488-Z489</f>
        <v>61200</v>
      </c>
      <c r="AA490" s="70" t="n">
        <f aca="false">Z490+AA488-AA489</f>
        <v>61200</v>
      </c>
      <c r="AB490" s="70" t="n">
        <f aca="false">AA490+AB488-AB489</f>
        <v>81600</v>
      </c>
    </row>
    <row r="491" customFormat="false" ht="15" hidden="false" customHeight="false" outlineLevel="0" collapsed="false">
      <c r="A491" s="28" t="s">
        <v>721</v>
      </c>
      <c r="B491" s="58" t="s">
        <v>722</v>
      </c>
      <c r="C491" s="59" t="n">
        <f aca="false">P491</f>
        <v>0</v>
      </c>
      <c r="D491" s="59" t="n">
        <f aca="false">AB491</f>
        <v>-10608</v>
      </c>
      <c r="E491" s="60" t="n">
        <f aca="false">Client_Register!$U$28+E479-(E486-E485)</f>
        <v>0</v>
      </c>
      <c r="F491" s="71" t="n">
        <f aca="false">E491+F479-(F486-F485)</f>
        <v>0</v>
      </c>
      <c r="G491" s="71" t="n">
        <f aca="false">F491+G479-(G486-G485)</f>
        <v>0</v>
      </c>
      <c r="H491" s="71" t="n">
        <f aca="false">G491+H479-(H486-H485)</f>
        <v>0</v>
      </c>
      <c r="I491" s="71" t="n">
        <f aca="false">H491+I479-(I486-I485)</f>
        <v>0</v>
      </c>
      <c r="J491" s="71" t="n">
        <f aca="false">I491+J479-(J486-J485)</f>
        <v>0</v>
      </c>
      <c r="K491" s="71" t="n">
        <f aca="false">J491+K479-(K486-K485)</f>
        <v>0</v>
      </c>
      <c r="L491" s="71" t="n">
        <f aca="false">K491+L479-(L486-L485)</f>
        <v>0</v>
      </c>
      <c r="M491" s="71" t="n">
        <f aca="false">L491+M479-(M486-M485)</f>
        <v>0</v>
      </c>
      <c r="N491" s="71" t="n">
        <f aca="false">M491+N479-(N486-N485)</f>
        <v>0</v>
      </c>
      <c r="O491" s="71" t="n">
        <f aca="false">N491+O479-(O486-O485)</f>
        <v>0</v>
      </c>
      <c r="P491" s="71" t="n">
        <f aca="false">O491+P479-(P486-P485)</f>
        <v>0</v>
      </c>
      <c r="Q491" s="71" t="n">
        <f aca="false">P491+Q479-(Q486-Q485)</f>
        <v>-39984</v>
      </c>
      <c r="R491" s="71" t="n">
        <f aca="false">Q491+R479-(R486-R485)</f>
        <v>10608</v>
      </c>
      <c r="S491" s="71" t="n">
        <f aca="false">R491+S479-(S486-S485)</f>
        <v>-10608</v>
      </c>
      <c r="T491" s="71" t="n">
        <f aca="false">S491+T479-(T486-T485)</f>
        <v>0</v>
      </c>
      <c r="U491" s="71" t="n">
        <f aca="false">T491+U479-(U486-U485)</f>
        <v>10608</v>
      </c>
      <c r="V491" s="71" t="n">
        <f aca="false">U491+V479-(V486-V485)</f>
        <v>-10608</v>
      </c>
      <c r="W491" s="71" t="n">
        <f aca="false">V491+W479-(W486-W485)</f>
        <v>0</v>
      </c>
      <c r="X491" s="71" t="n">
        <f aca="false">W491+X479-(X486-X485)</f>
        <v>10608</v>
      </c>
      <c r="Y491" s="71" t="n">
        <f aca="false">X491+Y479-(Y486-Y485)</f>
        <v>-10608</v>
      </c>
      <c r="Z491" s="71" t="n">
        <f aca="false">Y491+Z479-(Z486-Z485)</f>
        <v>0</v>
      </c>
      <c r="AA491" s="71" t="n">
        <f aca="false">Z491+AA479-(AA486-AA485)</f>
        <v>10608</v>
      </c>
      <c r="AB491" s="71" t="n">
        <f aca="false">AA491+AB479-(AB486-AB485)</f>
        <v>-10608</v>
      </c>
    </row>
    <row r="492" customFormat="false" ht="15" hidden="false" customHeight="false" outlineLevel="0" collapsed="false">
      <c r="A492" s="28" t="s">
        <v>723</v>
      </c>
      <c r="B492" s="58"/>
      <c r="C492" s="59" t="n">
        <f aca="false">P492</f>
        <v>0</v>
      </c>
      <c r="D492" s="59" t="n">
        <f aca="false">AB492</f>
        <v>81600</v>
      </c>
      <c r="E492" s="71" t="n">
        <f aca="false">E490/1</f>
        <v>0</v>
      </c>
      <c r="F492" s="71" t="n">
        <f aca="false">F490/1</f>
        <v>0</v>
      </c>
      <c r="G492" s="71" t="n">
        <f aca="false">G490/1</f>
        <v>0</v>
      </c>
      <c r="H492" s="71" t="n">
        <f aca="false">H490/1</f>
        <v>0</v>
      </c>
      <c r="I492" s="71" t="n">
        <f aca="false">I490/1</f>
        <v>0</v>
      </c>
      <c r="J492" s="71" t="n">
        <f aca="false">J490/1</f>
        <v>0</v>
      </c>
      <c r="K492" s="71" t="n">
        <f aca="false">K490/1</f>
        <v>0</v>
      </c>
      <c r="L492" s="71" t="n">
        <f aca="false">L490/1</f>
        <v>0</v>
      </c>
      <c r="M492" s="71" t="n">
        <f aca="false">M490/1</f>
        <v>0</v>
      </c>
      <c r="N492" s="71" t="n">
        <f aca="false">N490/1</f>
        <v>0</v>
      </c>
      <c r="O492" s="71" t="n">
        <f aca="false">O490/1</f>
        <v>0</v>
      </c>
      <c r="P492" s="71" t="n">
        <f aca="false">P490/1</f>
        <v>0</v>
      </c>
      <c r="Q492" s="71" t="n">
        <f aca="false">Q490/1</f>
        <v>61200</v>
      </c>
      <c r="R492" s="71" t="n">
        <f aca="false">R490/1</f>
        <v>0</v>
      </c>
      <c r="S492" s="71" t="n">
        <f aca="false">S490/1</f>
        <v>81600</v>
      </c>
      <c r="T492" s="71" t="n">
        <f aca="false">T490/1</f>
        <v>61200</v>
      </c>
      <c r="U492" s="71" t="n">
        <f aca="false">U490/1</f>
        <v>61200</v>
      </c>
      <c r="V492" s="71" t="n">
        <f aca="false">V490/1</f>
        <v>81600</v>
      </c>
      <c r="W492" s="71" t="n">
        <f aca="false">W490/1</f>
        <v>61200</v>
      </c>
      <c r="X492" s="71" t="n">
        <f aca="false">X490/1</f>
        <v>61200</v>
      </c>
      <c r="Y492" s="71" t="n">
        <f aca="false">Y490/1</f>
        <v>81600</v>
      </c>
      <c r="Z492" s="71" t="n">
        <f aca="false">Z490/1</f>
        <v>61200</v>
      </c>
      <c r="AA492" s="71" t="n">
        <f aca="false">AA490/1</f>
        <v>61200</v>
      </c>
      <c r="AB492" s="71" t="n">
        <f aca="false">AB490/1</f>
        <v>81600</v>
      </c>
    </row>
    <row r="493" customFormat="false" ht="15" hidden="false" customHeight="false" outlineLevel="0" collapsed="false">
      <c r="A493" s="28" t="s">
        <v>724</v>
      </c>
      <c r="B493" s="58"/>
      <c r="C493" s="66" t="n">
        <f aca="false">P493</f>
        <v>0</v>
      </c>
      <c r="D493" s="66" t="n">
        <f aca="false">AB493</f>
        <v>36.48</v>
      </c>
      <c r="E493" s="72" t="n">
        <f aca="false">IFERROR(E490/AVERAGE(E488:E488)*30.4,0)</f>
        <v>0</v>
      </c>
      <c r="F493" s="72" t="n">
        <f aca="false">IFERROR(F490/AVERAGE(E488:F488)*30.4,0)</f>
        <v>0</v>
      </c>
      <c r="G493" s="72" t="n">
        <f aca="false">IFERROR(G490/AVERAGE(E488:G488)*30.4,0)</f>
        <v>0</v>
      </c>
      <c r="H493" s="72" t="n">
        <f aca="false">IFERROR(H490/AVERAGE(F488:H488)*30.4,0)</f>
        <v>0</v>
      </c>
      <c r="I493" s="72" t="n">
        <f aca="false">IFERROR(I490/AVERAGE(G488:I488)*30.4,0)</f>
        <v>0</v>
      </c>
      <c r="J493" s="72" t="n">
        <f aca="false">IFERROR(J490/AVERAGE(H488:J488)*30.4,0)</f>
        <v>0</v>
      </c>
      <c r="K493" s="72" t="n">
        <f aca="false">IFERROR(K490/AVERAGE(I488:K488)*30.4,0)</f>
        <v>0</v>
      </c>
      <c r="L493" s="72" t="n">
        <f aca="false">IFERROR(L490/AVERAGE(J488:L488)*30.4,0)</f>
        <v>0</v>
      </c>
      <c r="M493" s="72" t="n">
        <f aca="false">IFERROR(M490/AVERAGE(K488:M488)*30.4,0)</f>
        <v>0</v>
      </c>
      <c r="N493" s="72" t="n">
        <f aca="false">IFERROR(N490/AVERAGE(L488:N488)*30.4,0)</f>
        <v>0</v>
      </c>
      <c r="O493" s="72" t="n">
        <f aca="false">IFERROR(O490/AVERAGE(M488:O488)*30.4,0)</f>
        <v>0</v>
      </c>
      <c r="P493" s="72" t="n">
        <f aca="false">IFERROR(P490/AVERAGE(N488:P488)*30.4,0)</f>
        <v>0</v>
      </c>
      <c r="Q493" s="72" t="n">
        <f aca="false">IFERROR(Q490/AVERAGE(O488:Q488)*30.4,0)</f>
        <v>91.2</v>
      </c>
      <c r="R493" s="72" t="n">
        <f aca="false">IFERROR(R490/AVERAGE(P488:R488)*30.4,0)</f>
        <v>0</v>
      </c>
      <c r="S493" s="72" t="n">
        <f aca="false">IFERROR(S490/AVERAGE(Q488:S488)*30.4,0)</f>
        <v>52.1142857142857</v>
      </c>
      <c r="T493" s="72" t="n">
        <f aca="false">IFERROR(T490/AVERAGE(R488:T488)*30.4,0)</f>
        <v>39.0857142857143</v>
      </c>
      <c r="U493" s="72" t="n">
        <f aca="false">IFERROR(U490/AVERAGE(S488:U488)*30.4,0)</f>
        <v>27.36</v>
      </c>
      <c r="V493" s="72" t="n">
        <f aca="false">IFERROR(V490/AVERAGE(T488:V488)*30.4,0)</f>
        <v>36.48</v>
      </c>
      <c r="W493" s="72" t="n">
        <f aca="false">IFERROR(W490/AVERAGE(U488:W488)*30.4,0)</f>
        <v>27.36</v>
      </c>
      <c r="X493" s="72" t="n">
        <f aca="false">IFERROR(X490/AVERAGE(V488:X488)*30.4,0)</f>
        <v>27.36</v>
      </c>
      <c r="Y493" s="72" t="n">
        <f aca="false">IFERROR(Y490/AVERAGE(W488:Y488)*30.4,0)</f>
        <v>36.48</v>
      </c>
      <c r="Z493" s="72" t="n">
        <f aca="false">IFERROR(Z490/AVERAGE(X488:Z488)*30.4,0)</f>
        <v>27.36</v>
      </c>
      <c r="AA493" s="72" t="n">
        <f aca="false">IFERROR(AA490/AVERAGE(Y488:AA488)*30.4,0)</f>
        <v>27.36</v>
      </c>
      <c r="AB493" s="72" t="n">
        <f aca="false">IFERROR(AB490/AVERAGE(Z488:AB488)*30.4,0)</f>
        <v>36.48</v>
      </c>
    </row>
    <row r="495" customFormat="false" ht="15" hidden="false" customHeight="false" outlineLevel="0" collapsed="false">
      <c r="A495" s="22" t="s">
        <v>755</v>
      </c>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row>
    <row r="496" customFormat="false" ht="15" hidden="false" customHeight="false" outlineLevel="0" collapsed="false">
      <c r="A496" s="28" t="s">
        <v>756</v>
      </c>
      <c r="B496" s="58" t="s">
        <v>757</v>
      </c>
      <c r="C496" s="59" t="n">
        <f aca="false">SUM(E496:P496)</f>
        <v>811500</v>
      </c>
      <c r="D496" s="59" t="n">
        <f aca="false">SUM(Q496:AB496)</f>
        <v>683240</v>
      </c>
      <c r="E496" s="71" t="n">
        <f aca="false">E232+E254+E276+E298+E320+E342+E364+E386+E452+E474</f>
        <v>71000</v>
      </c>
      <c r="F496" s="71" t="n">
        <f aca="false">F232+F254+F276+F298+F320+F342+F364+F386+F452+F474</f>
        <v>71000</v>
      </c>
      <c r="G496" s="71" t="n">
        <f aca="false">G232+G254+G276+G298+G320+G342+G364+G386+G452+G474</f>
        <v>71000</v>
      </c>
      <c r="H496" s="71" t="n">
        <f aca="false">H232+H254+H276+H298+H320+H342+H364+H386+H452+H474</f>
        <v>71000</v>
      </c>
      <c r="I496" s="71" t="n">
        <f aca="false">I232+I254+I276+I298+I320+I342+I364+I386+I452+I474</f>
        <v>71000</v>
      </c>
      <c r="J496" s="71" t="n">
        <f aca="false">J232+J254+J276+J298+J320+J342+J364+J386+J452+J474</f>
        <v>71000</v>
      </c>
      <c r="K496" s="71" t="n">
        <f aca="false">K232+K254+K276+K298+K320+K342+K364+K386+K452+K474</f>
        <v>71000</v>
      </c>
      <c r="L496" s="71" t="n">
        <f aca="false">L232+L254+L276+L298+L320+L342+L364+L386+L452+L474</f>
        <v>71000</v>
      </c>
      <c r="M496" s="71" t="n">
        <f aca="false">M232+M254+M276+M298+M320+M342+M364+M386+M452+M474</f>
        <v>71000</v>
      </c>
      <c r="N496" s="71" t="n">
        <f aca="false">N232+N254+N276+N298+N320+N342+N364+N386+N452+N474</f>
        <v>57500</v>
      </c>
      <c r="O496" s="71" t="n">
        <f aca="false">O232+O254+O276+O298+O320+O342+O364+O386+O452+O474</f>
        <v>57500</v>
      </c>
      <c r="P496" s="71" t="n">
        <f aca="false">P232+P254+P276+P298+P320+P342+P364+P386+P452+P474</f>
        <v>57500</v>
      </c>
      <c r="Q496" s="71" t="n">
        <f aca="false">Q232+Q254+Q276+Q298+Q320+Q342+Q364+Q386+Q452+Q474</f>
        <v>55246</v>
      </c>
      <c r="R496" s="71" t="n">
        <f aca="false">R232+R254+R276+R298+R320+R342+R364+R386+R452+R474</f>
        <v>55246</v>
      </c>
      <c r="S496" s="71" t="n">
        <f aca="false">S232+S254+S276+S298+S320+S342+S364+S386+S452+S474</f>
        <v>53622</v>
      </c>
      <c r="T496" s="71" t="n">
        <f aca="false">T232+T254+T276+T298+T320+T342+T364+T386+T452+T474</f>
        <v>58022</v>
      </c>
      <c r="U496" s="71" t="n">
        <f aca="false">U232+U254+U276+U298+U320+U342+U364+U386+U452+U474</f>
        <v>58022</v>
      </c>
      <c r="V496" s="71" t="n">
        <f aca="false">V232+V254+V276+V298+V320+V342+V364+V386+V452+V474</f>
        <v>58022</v>
      </c>
      <c r="W496" s="71" t="n">
        <f aca="false">W232+W254+W276+W298+W320+W342+W364+W386+W452+W474</f>
        <v>58022</v>
      </c>
      <c r="X496" s="71" t="n">
        <f aca="false">X232+X254+X276+X298+X320+X342+X364+X386+X452+X474</f>
        <v>58022</v>
      </c>
      <c r="Y496" s="71" t="n">
        <f aca="false">Y232+Y254+Y276+Y298+Y320+Y342+Y364+Y386+Y452+Y474</f>
        <v>58022</v>
      </c>
      <c r="Z496" s="71" t="n">
        <f aca="false">Z232+Z254+Z276+Z298+Z320+Z342+Z364+Z386+Z452+Z474</f>
        <v>56998</v>
      </c>
      <c r="AA496" s="71" t="n">
        <f aca="false">AA232+AA254+AA276+AA298+AA320+AA342+AA364+AA386+AA452+AA474</f>
        <v>56998</v>
      </c>
      <c r="AB496" s="71" t="n">
        <f aca="false">AB232+AB254+AB276+AB298+AB320+AB342+AB364+AB386+AB452+AB474</f>
        <v>56998</v>
      </c>
    </row>
    <row r="497" customFormat="false" ht="15" hidden="false" customHeight="false" outlineLevel="0" collapsed="false">
      <c r="A497" s="28" t="s">
        <v>758</v>
      </c>
      <c r="B497" s="58" t="s">
        <v>757</v>
      </c>
      <c r="C497" s="59" t="n">
        <f aca="false">SUM(E497:P497)</f>
        <v>152435.86</v>
      </c>
      <c r="D497" s="59" t="n">
        <f aca="false">SUM(Q497:AB497)</f>
        <v>790348.25</v>
      </c>
      <c r="E497" s="71" t="n">
        <f aca="false">E233+E255+E277+E299+E321+E343+E365+E387+E453+E475</f>
        <v>10258.69</v>
      </c>
      <c r="F497" s="71" t="n">
        <f aca="false">F233+F255+F277+F299+F321+F343+F365+F387+F453+F475</f>
        <v>4833.42</v>
      </c>
      <c r="G497" s="71" t="n">
        <f aca="false">G233+G255+G277+G299+G321+G343+G365+G387+G453+G475</f>
        <v>0</v>
      </c>
      <c r="H497" s="71" t="n">
        <f aca="false">H233+H255+H277+H299+H321+H343+H365+H387+H453+H475</f>
        <v>0</v>
      </c>
      <c r="I497" s="71" t="n">
        <f aca="false">I233+I255+I277+I299+I321+I343+I365+I387+I453+I475</f>
        <v>7070</v>
      </c>
      <c r="J497" s="71" t="n">
        <f aca="false">J233+J255+J277+J299+J321+J343+J365+J387+J453+J475</f>
        <v>18120</v>
      </c>
      <c r="K497" s="71" t="n">
        <f aca="false">K233+K255+K277+K299+K321+K343+K365+K387+K453+K475</f>
        <v>19810</v>
      </c>
      <c r="L497" s="71" t="n">
        <f aca="false">L233+L255+L277+L299+L321+L343+L365+L387+L453+L475</f>
        <v>24973.33</v>
      </c>
      <c r="M497" s="71" t="n">
        <f aca="false">M233+M255+M277+M299+M321+M343+M365+M387+M453+M475</f>
        <v>18590.4795238095</v>
      </c>
      <c r="N497" s="71" t="n">
        <f aca="false">N233+N255+N277+N299+N321+N343+N365+N387+N453+N475</f>
        <v>15092.4404761905</v>
      </c>
      <c r="O497" s="71" t="n">
        <f aca="false">O233+O255+O277+O299+O321+O343+O365+O387+O453+O475</f>
        <v>16843.75</v>
      </c>
      <c r="P497" s="71" t="n">
        <f aca="false">P233+P255+P277+P299+P321+P343+P365+P387+P453+P475</f>
        <v>16843.75</v>
      </c>
      <c r="Q497" s="71" t="n">
        <f aca="false">Q233+Q255+Q277+Q299+Q321+Q343+Q365+Q387+Q453+Q475</f>
        <v>28872.25</v>
      </c>
      <c r="R497" s="71" t="n">
        <f aca="false">R233+R255+R277+R299+R321+R343+R365+R387+R453+R475</f>
        <v>50592</v>
      </c>
      <c r="S497" s="71" t="n">
        <f aca="false">S233+S255+S277+S299+S321+S343+S365+S387+S453+S475</f>
        <v>63235.8518518519</v>
      </c>
      <c r="T497" s="71" t="n">
        <f aca="false">T233+T255+T277+T299+T321+T343+T365+T387+T453+T475</f>
        <v>78937.6296296296</v>
      </c>
      <c r="U497" s="71" t="n">
        <f aca="false">U233+U255+U277+U299+U321+U343+U365+U387+U453+U475</f>
        <v>81076.5185185185</v>
      </c>
      <c r="V497" s="71" t="n">
        <f aca="false">V233+V255+V277+V299+V321+V343+V365+V387+V453+V475</f>
        <v>69652.5185185185</v>
      </c>
      <c r="W497" s="71" t="n">
        <f aca="false">W233+W255+W277+W299+W321+W343+W365+W387+W453+W475</f>
        <v>78937.6296296296</v>
      </c>
      <c r="X497" s="71" t="n">
        <f aca="false">X233+X255+X277+X299+X321+X343+X365+X387+X453+X475</f>
        <v>74659.8518518518</v>
      </c>
      <c r="Y497" s="71" t="n">
        <f aca="false">Y233+Y255+Y277+Y299+Y321+Y343+Y365+Y387+Y453+Y475</f>
        <v>60384</v>
      </c>
      <c r="Z497" s="71" t="n">
        <f aca="false">Z233+Z255+Z277+Z299+Z321+Z343+Z365+Z387+Z453+Z475</f>
        <v>71808</v>
      </c>
      <c r="AA497" s="71" t="n">
        <f aca="false">AA233+AA255+AA277+AA299+AA321+AA343+AA365+AA387+AA453+AA475</f>
        <v>71808</v>
      </c>
      <c r="AB497" s="71" t="n">
        <f aca="false">AB233+AB255+AB277+AB299+AB321+AB343+AB365+AB387+AB453+AB475</f>
        <v>60384</v>
      </c>
    </row>
    <row r="498" customFormat="false" ht="15" hidden="false" customHeight="false" outlineLevel="0" collapsed="false">
      <c r="A498" s="28" t="s">
        <v>759</v>
      </c>
      <c r="B498" s="58" t="s">
        <v>757</v>
      </c>
      <c r="C498" s="59" t="n">
        <f aca="false">SUM(E498:P498)</f>
        <v>197224.873818852</v>
      </c>
      <c r="D498" s="59" t="n">
        <f aca="false">SUM(Q498:AB498)</f>
        <v>223502.528403106</v>
      </c>
      <c r="E498" s="71" t="n">
        <f aca="false">E234+E256+E278+E300+E322+E344+E366+E388+E454+E476</f>
        <v>9664.16</v>
      </c>
      <c r="F498" s="71" t="n">
        <f aca="false">F234+F256+F278+F300+F322+F344+F366+F388+F454+F476</f>
        <v>8800.24</v>
      </c>
      <c r="G498" s="71" t="n">
        <f aca="false">G234+G256+G278+G300+G322+G344+G366+G388+G454+G476</f>
        <v>18847.4</v>
      </c>
      <c r="H498" s="71" t="n">
        <f aca="false">H234+H256+H278+H300+H322+H344+H366+H388+H454+H476</f>
        <v>19746.51</v>
      </c>
      <c r="I498" s="71" t="n">
        <f aca="false">I234+I256+I278+I300+I322+I344+I366+I388+I454+I476</f>
        <v>18602.08</v>
      </c>
      <c r="J498" s="71" t="n">
        <f aca="false">J234+J256+J278+J300+J322+J344+J366+J388+J454+J476</f>
        <v>18210.39</v>
      </c>
      <c r="K498" s="71" t="n">
        <f aca="false">K234+K256+K278+K300+K322+K344+K366+K388+K454+K476</f>
        <v>13610.68</v>
      </c>
      <c r="L498" s="71" t="n">
        <f aca="false">L234+L256+L278+L300+L322+L344+L366+L388+L454+L476</f>
        <v>16047.13</v>
      </c>
      <c r="M498" s="71" t="n">
        <f aca="false">M234+M256+M278+M300+M322+M344+M366+M388+M454+M476</f>
        <v>19536.9343009708</v>
      </c>
      <c r="N498" s="71" t="n">
        <f aca="false">N234+N256+N278+N300+N322+N344+N366+N388+N454+N476</f>
        <v>20278.8431984761</v>
      </c>
      <c r="O498" s="71" t="n">
        <f aca="false">O234+O256+O278+O300+O322+O344+O366+O388+O454+O476</f>
        <v>18795.0254034656</v>
      </c>
      <c r="P498" s="71" t="n">
        <f aca="false">P234+P256+P278+P300+P322+P344+P366+P388+P454+P476</f>
        <v>15085.4809159395</v>
      </c>
      <c r="Q498" s="71" t="n">
        <f aca="false">Q234+Q256+Q278+Q300+Q322+Q344+Q366+Q388+Q454+Q476</f>
        <v>19546.8264196042</v>
      </c>
      <c r="R498" s="71" t="n">
        <f aca="false">R234+R256+R278+R300+R322+R344+R366+R388+R454+R476</f>
        <v>18775.2411661988</v>
      </c>
      <c r="S498" s="71" t="n">
        <f aca="false">S234+S256+S278+S300+S322+S344+S366+S388+S454+S476</f>
        <v>20318.4116730097</v>
      </c>
      <c r="T498" s="71" t="n">
        <f aca="false">T234+T256+T278+T300+T322+T344+T366+T388+T454+T476</f>
        <v>19289.6313351358</v>
      </c>
      <c r="U498" s="71" t="n">
        <f aca="false">U234+U256+U278+U300+U322+U344+U366+U388+U454+U476</f>
        <v>19289.6313351358</v>
      </c>
      <c r="V498" s="71" t="n">
        <f aca="false">V234+V256+V278+V300+V322+V344+V366+V388+V454+V476</f>
        <v>17746.4608283249</v>
      </c>
      <c r="W498" s="71" t="n">
        <f aca="false">W234+W256+W278+W300+W322+W344+W366+W388+W454+W476</f>
        <v>14402.9247302347</v>
      </c>
      <c r="X498" s="71" t="n">
        <f aca="false">X234+X256+X278+X300+X322+X344+X366+X388+X454+X476</f>
        <v>17489.2657438564</v>
      </c>
      <c r="Y498" s="71" t="n">
        <f aca="false">Y234+Y256+Y278+Y300+Y322+Y344+Y366+Y388+Y454+Y476</f>
        <v>20318.4116730097</v>
      </c>
      <c r="Z498" s="71" t="n">
        <f aca="false">Z234+Z256+Z278+Z300+Z322+Z344+Z366+Z388+Z454+Z476</f>
        <v>21089.9969264151</v>
      </c>
      <c r="AA498" s="71" t="n">
        <f aca="false">AA234+AA256+AA278+AA300+AA322+AA344+AA366+AA388+AA454+AA476</f>
        <v>19546.8264196042</v>
      </c>
      <c r="AB498" s="71" t="n">
        <f aca="false">AB234+AB256+AB278+AB300+AB322+AB344+AB366+AB388+AB454+AB476</f>
        <v>15688.9001525771</v>
      </c>
    </row>
    <row r="499" customFormat="false" ht="15" hidden="false" customHeight="false" outlineLevel="0" collapsed="false">
      <c r="A499" s="28" t="s">
        <v>760</v>
      </c>
      <c r="B499" s="58" t="s">
        <v>757</v>
      </c>
      <c r="C499" s="59" t="n">
        <f aca="false">SUM(E499:P499)</f>
        <v>116769.55</v>
      </c>
      <c r="D499" s="59" t="n">
        <f aca="false">SUM(Q499:AB499)</f>
        <v>108001</v>
      </c>
      <c r="E499" s="71" t="n">
        <f aca="false">E235+E257+E279+E301+E323+E345+E367+E389+E455+E477</f>
        <v>8432.55</v>
      </c>
      <c r="F499" s="71" t="n">
        <f aca="false">F235+F257+F279+F301+F323+F345+F367+F389+F455+F477</f>
        <v>8604.35</v>
      </c>
      <c r="G499" s="71" t="n">
        <f aca="false">G235+G257+G279+G301+G323+G345+G367+G389+G455+G477</f>
        <v>9067.88</v>
      </c>
      <c r="H499" s="71" t="n">
        <f aca="false">H235+H257+H279+H301+H323+H345+H367+H389+H455+H477</f>
        <v>9810.39</v>
      </c>
      <c r="I499" s="71" t="n">
        <f aca="false">I235+I257+I279+I301+I323+I345+I367+I389+I455+I477</f>
        <v>9380.12</v>
      </c>
      <c r="J499" s="71" t="n">
        <f aca="false">J235+J257+J279+J301+J323+J345+J367+J389+J455+J477</f>
        <v>9591.18</v>
      </c>
      <c r="K499" s="71" t="n">
        <f aca="false">K235+K257+K279+K301+K323+K345+K367+K389+K455+K477</f>
        <v>8429.97</v>
      </c>
      <c r="L499" s="71" t="n">
        <f aca="false">L235+L257+L279+L301+L323+L345+L367+L389+L455+L477</f>
        <v>8627.11</v>
      </c>
      <c r="M499" s="71" t="n">
        <f aca="false">M235+M257+M279+M301+M323+M345+M367+M389+M455+M477</f>
        <v>9640</v>
      </c>
      <c r="N499" s="71" t="n">
        <f aca="false">N235+N257+N279+N301+N323+N345+N367+N389+N455+N477</f>
        <v>10604</v>
      </c>
      <c r="O499" s="71" t="n">
        <f aca="false">O235+O257+O279+O301+O323+O345+O367+O389+O455+O477</f>
        <v>13014</v>
      </c>
      <c r="P499" s="71" t="n">
        <f aca="false">P235+P257+P279+P301+P323+P345+P367+P389+P455+P477</f>
        <v>11568</v>
      </c>
      <c r="Q499" s="71" t="n">
        <f aca="false">Q235+Q257+Q279+Q301+Q323+Q345+Q367+Q389+Q455+Q477</f>
        <v>8081.8</v>
      </c>
      <c r="R499" s="71" t="n">
        <f aca="false">R235+R257+R279+R301+R323+R345+R367+R389+R455+R477</f>
        <v>8081.8</v>
      </c>
      <c r="S499" s="71" t="n">
        <f aca="false">S235+S257+S279+S301+S323+S345+S367+S389+S455+S477</f>
        <v>8605.1</v>
      </c>
      <c r="T499" s="71" t="n">
        <f aca="false">T235+T257+T279+T301+T323+T345+T367+T389+T455+T477</f>
        <v>9058</v>
      </c>
      <c r="U499" s="71" t="n">
        <f aca="false">U235+U257+U279+U301+U323+U345+U367+U389+U455+U477</f>
        <v>9058</v>
      </c>
      <c r="V499" s="71" t="n">
        <f aca="false">V235+V257+V279+V301+V323+V345+V367+V389+V455+V477</f>
        <v>8605.1</v>
      </c>
      <c r="W499" s="71" t="n">
        <f aca="false">W235+W257+W279+W301+W323+W345+W367+W389+W455+W477</f>
        <v>7699.3</v>
      </c>
      <c r="X499" s="71" t="n">
        <f aca="false">X235+X257+X279+X301+X323+X345+X367+X389+X455+X477</f>
        <v>8152.2</v>
      </c>
      <c r="Y499" s="71" t="n">
        <f aca="false">Y235+Y257+Y279+Y301+Y323+Y345+Y367+Y389+Y455+Y477</f>
        <v>9058</v>
      </c>
      <c r="Z499" s="71" t="n">
        <f aca="false">Z235+Z257+Z279+Z301+Z323+Z345+Z367+Z389+Z455+Z477</f>
        <v>9523.8</v>
      </c>
      <c r="AA499" s="71" t="n">
        <f aca="false">AA235+AA257+AA279+AA301+AA323+AA345+AA367+AA389+AA455+AA477</f>
        <v>11688.3</v>
      </c>
      <c r="AB499" s="71" t="n">
        <f aca="false">AB235+AB257+AB279+AB301+AB323+AB345+AB367+AB389+AB455+AB477</f>
        <v>10389.6</v>
      </c>
    </row>
    <row r="500" customFormat="false" ht="15" hidden="false" customHeight="false" outlineLevel="0" collapsed="false">
      <c r="A500" s="28" t="s">
        <v>761</v>
      </c>
      <c r="B500" s="58" t="s">
        <v>757</v>
      </c>
      <c r="C500" s="59" t="n">
        <f aca="false">SUM(E500:P500)</f>
        <v>0</v>
      </c>
      <c r="D500" s="59" t="n">
        <f aca="false">SUM(Q500:AB500)</f>
        <v>0</v>
      </c>
      <c r="E500" s="71" t="n">
        <f aca="false">E236+E258+E280+E302+E324+E346+E368+E390+E456+E478</f>
        <v>0</v>
      </c>
      <c r="F500" s="71" t="n">
        <f aca="false">F236+F258+F280+F302+F324+F346+F368+F390+F456+F478</f>
        <v>0</v>
      </c>
      <c r="G500" s="71" t="n">
        <f aca="false">G236+G258+G280+G302+G324+G346+G368+G390+G456+G478</f>
        <v>0</v>
      </c>
      <c r="H500" s="71" t="n">
        <f aca="false">H236+H258+H280+H302+H324+H346+H368+H390+H456+H478</f>
        <v>0</v>
      </c>
      <c r="I500" s="71" t="n">
        <f aca="false">I236+I258+I280+I302+I324+I346+I368+I390+I456+I478</f>
        <v>0</v>
      </c>
      <c r="J500" s="71" t="n">
        <f aca="false">J236+J258+J280+J302+J324+J346+J368+J390+J456+J478</f>
        <v>0</v>
      </c>
      <c r="K500" s="71" t="n">
        <f aca="false">K236+K258+K280+K302+K324+K346+K368+K390+K456+K478</f>
        <v>0</v>
      </c>
      <c r="L500" s="71" t="n">
        <f aca="false">L236+L258+L280+L302+L324+L346+L368+L390+L456+L478</f>
        <v>0</v>
      </c>
      <c r="M500" s="71" t="n">
        <f aca="false">M236+M258+M280+M302+M324+M346+M368+M390+M456+M478</f>
        <v>0</v>
      </c>
      <c r="N500" s="71" t="n">
        <f aca="false">N236+N258+N280+N302+N324+N346+N368+N390+N456+N478</f>
        <v>0</v>
      </c>
      <c r="O500" s="71" t="n">
        <f aca="false">O236+O258+O280+O302+O324+O346+O368+O390+O456+O478</f>
        <v>0</v>
      </c>
      <c r="P500" s="71" t="n">
        <f aca="false">P236+P258+P280+P302+P324+P346+P368+P390+P456+P478</f>
        <v>0</v>
      </c>
      <c r="Q500" s="71" t="n">
        <f aca="false">Q236+Q258+Q280+Q302+Q324+Q346+Q368+Q390+Q456+Q478</f>
        <v>0</v>
      </c>
      <c r="R500" s="71" t="n">
        <f aca="false">R236+R258+R280+R302+R324+R346+R368+R390+R456+R478</f>
        <v>0</v>
      </c>
      <c r="S500" s="71" t="n">
        <f aca="false">S236+S258+S280+S302+S324+S346+S368+S390+S456+S478</f>
        <v>0</v>
      </c>
      <c r="T500" s="71" t="n">
        <f aca="false">T236+T258+T280+T302+T324+T346+T368+T390+T456+T478</f>
        <v>0</v>
      </c>
      <c r="U500" s="71" t="n">
        <f aca="false">U236+U258+U280+U302+U324+U346+U368+U390+U456+U478</f>
        <v>0</v>
      </c>
      <c r="V500" s="71" t="n">
        <f aca="false">V236+V258+V280+V302+V324+V346+V368+V390+V456+V478</f>
        <v>0</v>
      </c>
      <c r="W500" s="71" t="n">
        <f aca="false">W236+W258+W280+W302+W324+W346+W368+W390+W456+W478</f>
        <v>0</v>
      </c>
      <c r="X500" s="71" t="n">
        <f aca="false">X236+X258+X280+X302+X324+X346+X368+X390+X456+X478</f>
        <v>0</v>
      </c>
      <c r="Y500" s="71" t="n">
        <f aca="false">Y236+Y258+Y280+Y302+Y324+Y346+Y368+Y390+Y456+Y478</f>
        <v>0</v>
      </c>
      <c r="Z500" s="71" t="n">
        <f aca="false">Z236+Z258+Z280+Z302+Z324+Z346+Z368+Z390+Z456+Z478</f>
        <v>0</v>
      </c>
      <c r="AA500" s="71" t="n">
        <f aca="false">AA236+AA258+AA280+AA302+AA324+AA346+AA368+AA390+AA456+AA478</f>
        <v>0</v>
      </c>
      <c r="AB500" s="71" t="n">
        <f aca="false">AB236+AB258+AB280+AB302+AB324+AB346+AB368+AB390+AB456+AB478</f>
        <v>0</v>
      </c>
    </row>
    <row r="501" customFormat="false" ht="15" hidden="false" customHeight="false" outlineLevel="0" collapsed="false">
      <c r="A501" s="28" t="s">
        <v>762</v>
      </c>
      <c r="B501" s="58" t="s">
        <v>757</v>
      </c>
      <c r="C501" s="59" t="n">
        <f aca="false">SUM(E501:P501)</f>
        <v>1114660.84</v>
      </c>
      <c r="D501" s="59" t="n">
        <f aca="false">SUM(Q501:AB501)</f>
        <v>1029850</v>
      </c>
      <c r="E501" s="71" t="n">
        <f aca="false">E243+E265+E287+E309+E331+E353+E375+E397+E463+E485</f>
        <v>80762.71</v>
      </c>
      <c r="F501" s="71" t="n">
        <f aca="false">F243+F265+F287+F309+F331+F353+F375+F397+F463+F485</f>
        <v>82149.17</v>
      </c>
      <c r="G501" s="71" t="n">
        <f aca="false">G243+G265+G287+G309+G331+G353+G375+G397+G463+G485</f>
        <v>86658.27</v>
      </c>
      <c r="H501" s="71" t="n">
        <f aca="false">H243+H265+H287+H309+H331+H353+H375+H397+H463+H485</f>
        <v>93830.35</v>
      </c>
      <c r="I501" s="71" t="n">
        <f aca="false">I243+I265+I287+I309+I331+I353+I375+I397+I463+I485</f>
        <v>89680.99</v>
      </c>
      <c r="J501" s="71" t="n">
        <f aca="false">J243+J265+J287+J309+J331+J353+J375+J397+J463+J485</f>
        <v>91637.13</v>
      </c>
      <c r="K501" s="71" t="n">
        <f aca="false">K243+K265+K287+K309+K331+K353+K375+K397+K463+K485</f>
        <v>80253.56</v>
      </c>
      <c r="L501" s="71" t="n">
        <f aca="false">L243+L265+L287+L309+L331+L353+L375+L397+L463+L485</f>
        <v>81888.66</v>
      </c>
      <c r="M501" s="71" t="n">
        <f aca="false">M243+M265+M287+M309+M331+M353+M375+M397+M463+M485</f>
        <v>92000</v>
      </c>
      <c r="N501" s="71" t="n">
        <f aca="false">N243+N265+N287+N309+N331+N353+N375+N397+N463+N485</f>
        <v>101200</v>
      </c>
      <c r="O501" s="71" t="n">
        <f aca="false">O243+O265+O287+O309+O331+O353+O375+O397+O463+O485</f>
        <v>124200</v>
      </c>
      <c r="P501" s="71" t="n">
        <f aca="false">P243+P265+P287+P309+P331+P353+P375+P397+P463+P485</f>
        <v>110400</v>
      </c>
      <c r="Q501" s="71" t="n">
        <f aca="false">Q243+Q265+Q287+Q309+Q331+Q353+Q375+Q397+Q463+Q485</f>
        <v>77265</v>
      </c>
      <c r="R501" s="71" t="n">
        <f aca="false">R243+R265+R287+R309+R331+R353+R375+R397+R463+R485</f>
        <v>77265</v>
      </c>
      <c r="S501" s="71" t="n">
        <f aca="false">S243+S265+S287+S309+S331+S353+S375+S397+S463+S485</f>
        <v>82080</v>
      </c>
      <c r="T501" s="71" t="n">
        <f aca="false">T243+T265+T287+T309+T331+T353+T375+T397+T463+T485</f>
        <v>86400</v>
      </c>
      <c r="U501" s="71" t="n">
        <f aca="false">U243+U265+U287+U309+U331+U353+U375+U397+U463+U485</f>
        <v>86400</v>
      </c>
      <c r="V501" s="71" t="n">
        <f aca="false">V243+V265+V287+V309+V331+V353+V375+V397+V463+V485</f>
        <v>82080</v>
      </c>
      <c r="W501" s="71" t="n">
        <f aca="false">W243+W265+W287+W309+W331+W353+W375+W397+W463+W485</f>
        <v>73440</v>
      </c>
      <c r="X501" s="71" t="n">
        <f aca="false">X243+X265+X287+X309+X331+X353+X375+X397+X463+X485</f>
        <v>77760</v>
      </c>
      <c r="Y501" s="71" t="n">
        <f aca="false">Y243+Y265+Y287+Y309+Y331+Y353+Y375+Y397+Y463+Y485</f>
        <v>86400</v>
      </c>
      <c r="Z501" s="71" t="n">
        <f aca="false">Z243+Z265+Z287+Z309+Z331+Z353+Z375+Z397+Z463+Z485</f>
        <v>90640</v>
      </c>
      <c r="AA501" s="71" t="n">
        <f aca="false">AA243+AA265+AA287+AA309+AA331+AA353+AA375+AA397+AA463+AA485</f>
        <v>111240</v>
      </c>
      <c r="AB501" s="71" t="n">
        <f aca="false">AB243+AB265+AB287+AB309+AB331+AB353+AB375+AB397+AB463+AB485</f>
        <v>98880</v>
      </c>
    </row>
    <row r="502" customFormat="false" ht="15" hidden="false" customHeight="false" outlineLevel="0" collapsed="false">
      <c r="A502" s="28" t="s">
        <v>763</v>
      </c>
      <c r="B502" s="58" t="s">
        <v>757</v>
      </c>
      <c r="C502" s="59" t="n">
        <f aca="false">SUM(E502:P502)</f>
        <v>124523.763801429</v>
      </c>
      <c r="D502" s="59" t="n">
        <f aca="false">SUM(Q502:AB502)</f>
        <v>121665.353651714</v>
      </c>
      <c r="E502" s="71" t="n">
        <f aca="false">E245+E267+E289+E311+E333+E355+E377+E399+E465+E487</f>
        <v>8835.1488</v>
      </c>
      <c r="F502" s="71" t="n">
        <f aca="false">F245+F267+F289+F311+F333+F355+F377+F399+F465+F487</f>
        <v>9713.3856</v>
      </c>
      <c r="G502" s="71" t="n">
        <f aca="false">G245+G267+G289+G311+G333+G355+G377+G399+G465+G487</f>
        <v>9675.684</v>
      </c>
      <c r="H502" s="71" t="n">
        <f aca="false">H245+H267+H289+H311+H333+H355+H377+H399+H465+H487</f>
        <v>10337.0184</v>
      </c>
      <c r="I502" s="71" t="n">
        <f aca="false">I245+I267+I289+I311+I333+I355+I377+I399+I465+I487</f>
        <v>10422.648</v>
      </c>
      <c r="J502" s="71" t="n">
        <f aca="false">J245+J267+J289+J311+J333+J355+J377+J399+J465+J487</f>
        <v>10137.9048</v>
      </c>
      <c r="K502" s="71" t="n">
        <f aca="false">K245+K267+K289+K311+K333+K355+K377+K399+K465+K487</f>
        <v>9982.6968</v>
      </c>
      <c r="L502" s="71" t="n">
        <f aca="false">L245+L267+L289+L311+L333+L355+L377+L399+L465+L487</f>
        <v>9894.0264</v>
      </c>
      <c r="M502" s="71" t="n">
        <f aca="false">M245+M267+M289+M311+M333+M355+M377+M399+M465+M487</f>
        <v>9929.4336</v>
      </c>
      <c r="N502" s="71" t="n">
        <f aca="false">N245+N267+N289+N311+N333+N355+N377+N399+N465+N487</f>
        <v>11175.3524671431</v>
      </c>
      <c r="O502" s="71" t="n">
        <f aca="false">O245+O267+O289+O311+O333+O355+O377+O399+O465+O487</f>
        <v>12749.0838266548</v>
      </c>
      <c r="P502" s="71" t="n">
        <f aca="false">P245+P267+P289+P311+P333+P355+P377+P399+P465+P487</f>
        <v>11671.3811076313</v>
      </c>
      <c r="Q502" s="71" t="n">
        <f aca="false">Q245+Q267+Q289+Q311+Q333+Q355+Q377+Q399+Q465+Q487</f>
        <v>8847.71631007248</v>
      </c>
      <c r="R502" s="71" t="n">
        <f aca="false">R245+R267+R289+R311+R333+R355+R377+R399+R465+R487</f>
        <v>9420.97555193654</v>
      </c>
      <c r="S502" s="71" t="n">
        <f aca="false">S245+S267+S289+S311+S333+S355+S377+S399+S465+S487</f>
        <v>9883.62293804431</v>
      </c>
      <c r="T502" s="71" t="n">
        <f aca="false">T245+T267+T289+T311+T333+T355+T377+T399+T465+T487</f>
        <v>10362.8081658288</v>
      </c>
      <c r="U502" s="71" t="n">
        <f aca="false">U245+U267+U289+U311+U333+U355+U377+U399+U465+U487</f>
        <v>10230.6153473058</v>
      </c>
      <c r="V502" s="71" t="n">
        <f aca="false">V245+V267+V289+V311+V333+V355+V377+V399+V465+V487</f>
        <v>9949.7193473058</v>
      </c>
      <c r="W502" s="71" t="n">
        <f aca="false">W245+W267+W289+W311+W333+W355+W377+W399+W465+W487</f>
        <v>9189.63811952133</v>
      </c>
      <c r="X502" s="71" t="n">
        <f aca="false">X245+X267+X289+X311+X333+X355+X377+X399+X465+X487</f>
        <v>9040.90745932166</v>
      </c>
      <c r="Y502" s="71" t="n">
        <f aca="false">Y245+Y267+Y289+Y311+Y333+Y355+Y377+Y399+Y465+Y487</f>
        <v>9999.27791489059</v>
      </c>
      <c r="Z502" s="71" t="n">
        <f aca="false">Z245+Z267+Z289+Z311+Z333+Z355+Z377+Z399+Z465+Z487</f>
        <v>10924.6001658288</v>
      </c>
      <c r="AA502" s="71" t="n">
        <f aca="false">AA245+AA267+AA289+AA311+AA333+AA355+AA377+AA399+AA465+AA487</f>
        <v>12428.224779721</v>
      </c>
      <c r="AB502" s="71" t="n">
        <f aca="false">AB245+AB267+AB289+AB311+AB333+AB355+AB377+AB399+AB465+AB487</f>
        <v>11387.2475519365</v>
      </c>
    </row>
    <row r="503" customFormat="false" ht="15" hidden="false" customHeight="false" outlineLevel="0" collapsed="false">
      <c r="A503" s="28" t="s">
        <v>764</v>
      </c>
      <c r="B503" s="58" t="s">
        <v>757</v>
      </c>
      <c r="C503" s="59" t="n">
        <f aca="false">SUM(E503:P503)</f>
        <v>2509954.87670434</v>
      </c>
      <c r="D503" s="59" t="n">
        <f aca="false">SUM(Q503:AB503)</f>
        <v>2973655.46281818</v>
      </c>
      <c r="E503" s="71" t="n">
        <f aca="false">E246+E268+E290+E312+E334+E356+E378+E400+E466+E488</f>
        <v>208891.7388</v>
      </c>
      <c r="F503" s="71" t="n">
        <f aca="false">F246+F268+F290+F312+F334+F356+F378+F400+F466+F488</f>
        <v>187331.0656</v>
      </c>
      <c r="G503" s="71" t="n">
        <f aca="false">G246+G268+G290+G312+G334+G356+G378+G400+G466+G488</f>
        <v>169202.074</v>
      </c>
      <c r="H503" s="71" t="n">
        <f aca="false">H246+H268+H290+H312+H334+H356+H378+H400+H466+H488</f>
        <v>235825.1584</v>
      </c>
      <c r="I503" s="71" t="n">
        <f aca="false">I246+I268+I290+I312+I334+I356+I378+I400+I466+I488</f>
        <v>213030.268</v>
      </c>
      <c r="J503" s="71" t="n">
        <f aca="false">J246+J268+J290+J312+J334+J356+J378+J400+J466+J488</f>
        <v>184968.2948</v>
      </c>
      <c r="K503" s="71" t="n">
        <f aca="false">K246+K268+K290+K312+K334+K356+K378+K400+K466+K488</f>
        <v>219876.6168</v>
      </c>
      <c r="L503" s="71" t="n">
        <f aca="false">L246+L268+L290+L312+L334+L356+L378+L400+L466+L488</f>
        <v>207420.4764</v>
      </c>
      <c r="M503" s="71" t="n">
        <f aca="false">M246+M268+M290+M312+M334+M356+M378+M400+M466+M488</f>
        <v>182616.5636</v>
      </c>
      <c r="N503" s="71" t="n">
        <f aca="false">N246+N268+N290+N312+N334+N356+N378+N400+N466+N488</f>
        <v>275516.286768114</v>
      </c>
      <c r="O503" s="71" t="n">
        <f aca="false">O246+O268+O290+O312+O334+O356+O378+O400+O466+O488</f>
        <v>211741.927025131</v>
      </c>
      <c r="P503" s="71" t="n">
        <f aca="false">P246+P268+P290+P312+P334+P356+P378+P400+P466+P488</f>
        <v>213534.406511097</v>
      </c>
      <c r="Q503" s="71" t="n">
        <f aca="false">Q246+Q268+Q290+Q312+Q334+Q356+Q378+Q400+Q466+Q488</f>
        <v>272425.997226012</v>
      </c>
      <c r="R503" s="71" t="n">
        <f aca="false">R246+R268+R290+R312+R334+R356+R378+R400+R466+R488</f>
        <v>153560.601971541</v>
      </c>
      <c r="S503" s="71" t="n">
        <f aca="false">S246+S268+S290+S312+S334+S356+S378+S400+S466+S488</f>
        <v>250115.964104243</v>
      </c>
      <c r="T503" s="71" t="n">
        <f aca="false">T246+T268+T290+T312+T334+T356+T378+T400+T466+T488</f>
        <v>277361.219838838</v>
      </c>
      <c r="U503" s="71" t="n">
        <f aca="false">U246+U268+U290+U312+U334+U356+U378+U400+U466+U488</f>
        <v>228200.246682442</v>
      </c>
      <c r="V503" s="71" t="n">
        <f aca="false">V246+V268+V290+V312+V334+V356+V378+V400+V466+V488</f>
        <v>258946.450682442</v>
      </c>
      <c r="W503" s="71" t="n">
        <f aca="false">W246+W268+W290+W312+W334+W356+W378+W400+W466+W488</f>
        <v>259297.398947846</v>
      </c>
      <c r="X503" s="71" t="n">
        <f aca="false">X246+X268+X290+X312+X334+X356+X378+X400+X466+X488</f>
        <v>224128.032189556</v>
      </c>
      <c r="Y503" s="71" t="n">
        <f aca="false">Y246+Y268+Y290+Y312+Y334+Y356+Y378+Y400+Y466+Y488</f>
        <v>246568.543658747</v>
      </c>
      <c r="Z503" s="71" t="n">
        <f aca="false">Z246+Z268+Z290+Z312+Z334+Z356+Z378+Z400+Z466+Z488</f>
        <v>279556.811838838</v>
      </c>
      <c r="AA503" s="71" t="n">
        <f aca="false">AA246+AA268+AA290+AA312+AA334+AA356+AA378+AA400+AA466+AA488</f>
        <v>259668.521706136</v>
      </c>
      <c r="AB503" s="71" t="n">
        <f aca="false">AB246+AB268+AB290+AB312+AB334+AB356+AB378+AB400+AB466+AB488</f>
        <v>263825.673971541</v>
      </c>
    </row>
    <row r="504" customFormat="false" ht="15" hidden="false" customHeight="false" outlineLevel="0" collapsed="false">
      <c r="A504" s="28" t="s">
        <v>765</v>
      </c>
      <c r="B504" s="58" t="s">
        <v>757</v>
      </c>
      <c r="C504" s="59" t="n">
        <f aca="false">SUM(E504:P504)</f>
        <v>2484335.27610083</v>
      </c>
      <c r="D504" s="59" t="n">
        <f aca="false">SUM(Q504:AB504)</f>
        <v>2922481.42703404</v>
      </c>
      <c r="E504" s="71" t="n">
        <f aca="false">E247+E269+E291+E313+E335+E357+E379+E401+E467+E489</f>
        <v>186307.37</v>
      </c>
      <c r="F504" s="71" t="n">
        <f aca="false">F247+F269+F291+F313+F335+F357+F379+F401+F467+F489</f>
        <v>218587.83</v>
      </c>
      <c r="G504" s="71" t="n">
        <f aca="false">G247+G269+G291+G313+G335+G357+G379+G401+G467+G489</f>
        <v>184863.9</v>
      </c>
      <c r="H504" s="71" t="n">
        <f aca="false">H247+H269+H291+H313+H335+H357+H379+H401+H467+H489</f>
        <v>161420.07</v>
      </c>
      <c r="I504" s="71" t="n">
        <f aca="false">I247+I269+I291+I313+I335+I357+I379+I401+I467+I489</f>
        <v>226869.25</v>
      </c>
      <c r="J504" s="71" t="n">
        <f aca="false">J247+J269+J291+J313+J335+J357+J379+J401+J467+J489</f>
        <v>228033.51</v>
      </c>
      <c r="K504" s="71" t="n">
        <f aca="false">K247+K269+K291+K313+K335+K357+K379+K401+K467+K489</f>
        <v>182256.77</v>
      </c>
      <c r="L504" s="71" t="n">
        <f aca="false">L247+L269+L291+L313+L335+L357+L379+L401+L467+L489</f>
        <v>230382.82</v>
      </c>
      <c r="M504" s="71" t="n">
        <f aca="false">M247+M269+M291+M313+M335+M357+M379+M401+M467+M489</f>
        <v>195566.814</v>
      </c>
      <c r="N504" s="71" t="n">
        <f aca="false">N247+N269+N291+N313+N335+N357+N379+N401+N467+N489</f>
        <v>181323.38476008</v>
      </c>
      <c r="O504" s="71" t="n">
        <f aca="false">O247+O269+O291+O313+O335+O357+O379+O401+O467+O489</f>
        <v>279754.281887273</v>
      </c>
      <c r="P504" s="71" t="n">
        <f aca="false">P247+P269+P291+P313+P335+P357+P379+P401+P467+P489</f>
        <v>208969.275453479</v>
      </c>
      <c r="Q504" s="71" t="n">
        <f aca="false">Q247+Q269+Q291+Q313+Q335+Q357+Q379+Q401+Q467+Q489</f>
        <v>206246.186648635</v>
      </c>
      <c r="R504" s="71" t="n">
        <f aca="false">R247+R269+R291+R313+R335+R357+R379+R401+R467+R489</f>
        <v>273413.277031445</v>
      </c>
      <c r="S504" s="71" t="n">
        <f aca="false">S247+S269+S291+S313+S335+S357+S379+S401+S467+S489</f>
        <v>154937.901980949</v>
      </c>
      <c r="T504" s="71" t="n">
        <f aca="false">T247+T269+T291+T313+T335+T357+T379+T401+T467+T489</f>
        <v>251231.486752094</v>
      </c>
      <c r="U504" s="71" t="n">
        <f aca="false">U247+U269+U291+U313+U335+U357+U379+U401+U467+U489</f>
        <v>277133.55442916</v>
      </c>
      <c r="V504" s="71" t="n">
        <f aca="false">V247+V269+V291+V313+V335+V357+V379+V401+V467+V489</f>
        <v>227426.222149108</v>
      </c>
      <c r="W504" s="71" t="n">
        <f aca="false">W247+W269+W291+W313+W335+W357+W379+W401+W467+W489</f>
        <v>257056.903501257</v>
      </c>
      <c r="X504" s="71" t="n">
        <f aca="false">X247+X269+X291+X313+X335+X357+X379+X401+X467+X489</f>
        <v>259331.510899725</v>
      </c>
      <c r="Y504" s="71" t="n">
        <f aca="false">Y247+Y269+Y291+Y313+Y335+Y357+Y379+Y401+Y467+Y489</f>
        <v>226359.077485258</v>
      </c>
      <c r="Z504" s="71" t="n">
        <f aca="false">Z247+Z269+Z291+Z313+Z335+Z357+Z379+Z401+Z467+Z489</f>
        <v>248742.672602029</v>
      </c>
      <c r="AA504" s="71" t="n">
        <f aca="false">AA247+AA269+AA291+AA313+AA335+AA357+AA379+AA401+AA467+AA489</f>
        <v>283597.683562764</v>
      </c>
      <c r="AB504" s="71" t="n">
        <f aca="false">AB247+AB269+AB291+AB313+AB335+AB357+AB379+AB401+AB467+AB489</f>
        <v>257004.949991618</v>
      </c>
    </row>
    <row r="505" customFormat="false" ht="15" hidden="false" customHeight="false" outlineLevel="0" collapsed="false">
      <c r="A505" s="28" t="s">
        <v>766</v>
      </c>
      <c r="B505" s="58" t="s">
        <v>757</v>
      </c>
      <c r="C505" s="59" t="n">
        <f aca="false">P505</f>
        <v>183868.83060351</v>
      </c>
      <c r="D505" s="59" t="n">
        <f aca="false">AB505</f>
        <v>235042.86638765</v>
      </c>
      <c r="E505" s="71" t="n">
        <f aca="false">E248+E270+E292+E314+E336+E358+E380+E402+E468+E490</f>
        <v>180833.5988</v>
      </c>
      <c r="F505" s="71" t="n">
        <f aca="false">F248+F270+F292+F314+F336+F358+F380+F402+F468+F490</f>
        <v>149576.8344</v>
      </c>
      <c r="G505" s="71" t="n">
        <f aca="false">G248+G270+G292+G314+G336+G358+G380+G402+G468+G490</f>
        <v>133915.0084</v>
      </c>
      <c r="H505" s="71" t="n">
        <f aca="false">H248+H270+H292+H314+H336+H358+H380+H402+H468+H490</f>
        <v>208320.0968</v>
      </c>
      <c r="I505" s="71" t="n">
        <f aca="false">I248+I270+I292+I314+I336+I358+I380+I402+I468+I490</f>
        <v>194481.1148</v>
      </c>
      <c r="J505" s="71" t="n">
        <f aca="false">J248+J270+J292+J314+J336+J358+J380+J402+J468+J490</f>
        <v>151415.8996</v>
      </c>
      <c r="K505" s="71" t="n">
        <f aca="false">K248+K270+K292+K314+K336+K358+K380+K402+K468+K490</f>
        <v>189035.7464</v>
      </c>
      <c r="L505" s="71" t="n">
        <f aca="false">L248+L270+L292+L314+L336+L358+L380+L402+L468+L490</f>
        <v>166073.4028</v>
      </c>
      <c r="M505" s="71" t="n">
        <f aca="false">M248+M270+M292+M314+M336+M358+M380+M402+M468+M490</f>
        <v>153123.1524</v>
      </c>
      <c r="N505" s="71" t="n">
        <f aca="false">N248+N270+N292+N314+N336+N358+N380+N402+N468+N490</f>
        <v>247316.054408034</v>
      </c>
      <c r="O505" s="71" t="n">
        <f aca="false">O248+O270+O292+O314+O336+O358+O380+O402+O468+O490</f>
        <v>179303.699545892</v>
      </c>
      <c r="P505" s="71" t="n">
        <f aca="false">P248+P270+P292+P314+P336+P358+P380+P402+P468+P490</f>
        <v>183868.83060351</v>
      </c>
      <c r="Q505" s="71" t="n">
        <f aca="false">Q248+Q270+Q292+Q314+Q336+Q358+Q380+Q402+Q468+Q490</f>
        <v>250048.641180887</v>
      </c>
      <c r="R505" s="71" t="n">
        <f aca="false">R248+R270+R292+R314+R336+R358+R380+R402+R468+R490</f>
        <v>130195.966120983</v>
      </c>
      <c r="S505" s="71" t="n">
        <f aca="false">S248+S270+S292+S314+S336+S358+S380+S402+S468+S490</f>
        <v>225374.028244278</v>
      </c>
      <c r="T505" s="71" t="n">
        <f aca="false">T248+T270+T292+T314+T336+T358+T380+T402+T468+T490</f>
        <v>251503.761331022</v>
      </c>
      <c r="U505" s="71" t="n">
        <f aca="false">U248+U270+U292+U314+U336+U358+U380+U402+U468+U490</f>
        <v>202570.453584304</v>
      </c>
      <c r="V505" s="71" t="n">
        <f aca="false">V248+V270+V292+V314+V336+V358+V380+V402+V468+V490</f>
        <v>234090.682117637</v>
      </c>
      <c r="W505" s="71" t="n">
        <f aca="false">W248+W270+W292+W314+W336+W358+W380+W402+W468+W490</f>
        <v>236331.177564226</v>
      </c>
      <c r="X505" s="71" t="n">
        <f aca="false">X248+X270+X292+X314+X336+X358+X380+X402+X468+X490</f>
        <v>201127.698854058</v>
      </c>
      <c r="Y505" s="71" t="n">
        <f aca="false">Y248+Y270+Y292+Y314+Y336+Y358+Y380+Y402+Y468+Y490</f>
        <v>221337.165027547</v>
      </c>
      <c r="Z505" s="71" t="n">
        <f aca="false">Z248+Z270+Z292+Z314+Z336+Z358+Z380+Z402+Z468+Z490</f>
        <v>252151.304264356</v>
      </c>
      <c r="AA505" s="71" t="n">
        <f aca="false">AA248+AA270+AA292+AA314+AA336+AA358+AA380+AA402+AA468+AA490</f>
        <v>228222.142407728</v>
      </c>
      <c r="AB505" s="71" t="n">
        <f aca="false">AB248+AB270+AB292+AB314+AB336+AB358+AB380+AB402+AB468+AB490</f>
        <v>235042.86638765</v>
      </c>
    </row>
    <row r="506" customFormat="false" ht="15" hidden="false" customHeight="false" outlineLevel="0" collapsed="false">
      <c r="A506" s="28" t="s">
        <v>767</v>
      </c>
      <c r="B506" s="58" t="s">
        <v>757</v>
      </c>
      <c r="C506" s="59" t="n">
        <f aca="false">P506</f>
        <v>22129.2309159395</v>
      </c>
      <c r="D506" s="59" t="n">
        <f aca="false">AB506</f>
        <v>5080.90015257706</v>
      </c>
      <c r="E506" s="71" t="n">
        <f aca="false">E249+E271+E293+E315+E337+E359+E381+E403+E469+E491</f>
        <v>-4969.26</v>
      </c>
      <c r="F506" s="71" t="n">
        <f aca="false">F249+F271+F293+F315+F337+F359+F381+F403+F469+F491</f>
        <v>-7199.76</v>
      </c>
      <c r="G506" s="71" t="n">
        <f aca="false">G249+G271+G293+G315+G337+G359+G381+G403+G469+G491</f>
        <v>18847.4</v>
      </c>
      <c r="H506" s="71" t="n">
        <f aca="false">H249+H271+H293+H315+H337+H359+H381+H403+H469+H491</f>
        <v>-12253.49</v>
      </c>
      <c r="I506" s="71" t="n">
        <f aca="false">I249+I271+I293+I315+I337+I359+I381+I403+I469+I491</f>
        <v>-19127.92</v>
      </c>
      <c r="J506" s="71" t="n">
        <f aca="false">J249+J271+J293+J315+J337+J359+J381+J403+J469+J491</f>
        <v>14600.39</v>
      </c>
      <c r="K506" s="71" t="n">
        <f aca="false">K249+K271+K293+K315+K337+K359+K381+K403+K469+K491</f>
        <v>-2189.32</v>
      </c>
      <c r="L506" s="71" t="n">
        <f aca="false">L249+L271+L293+L315+L337+L359+L381+L403+L469+L491</f>
        <v>2820.46</v>
      </c>
      <c r="M506" s="71" t="n">
        <f aca="false">M249+M271+M293+M315+M337+M359+M381+M403+M469+M491</f>
        <v>40900.7438247803</v>
      </c>
      <c r="N506" s="71" t="n">
        <f aca="false">N249+N271+N293+N315+N337+N359+N381+N403+N469+N491</f>
        <v>-18764.906801524</v>
      </c>
      <c r="O506" s="71" t="n">
        <f aca="false">O249+O271+O293+O315+O337+O359+O381+O403+O469+O491</f>
        <v>12595.0254034656</v>
      </c>
      <c r="P506" s="71" t="n">
        <f aca="false">P249+P271+P293+P315+P337+P359+P381+P403+P469+P491</f>
        <v>22129.2309159395</v>
      </c>
      <c r="Q506" s="71" t="n">
        <f aca="false">Q249+Q271+Q293+Q315+Q337+Q359+Q381+Q403+Q469+Q491</f>
        <v>-52437.1735803958</v>
      </c>
      <c r="R506" s="71" t="n">
        <f aca="false">R249+R271+R293+R315+R337+R359+R381+R403+R469+R491</f>
        <v>13383.2411661988</v>
      </c>
      <c r="S506" s="71" t="n">
        <f aca="false">S249+S271+S293+S315+S337+S359+S381+S403+S469+S491</f>
        <v>1012.26352486152</v>
      </c>
      <c r="T506" s="71" t="n">
        <f aca="false">T249+T271+T293+T315+T337+T359+T381+T403+T469+T491</f>
        <v>-14278.8871833828</v>
      </c>
      <c r="U506" s="71" t="n">
        <f aca="false">U249+U271+U293+U315+U337+U359+U381+U403+U469+U491</f>
        <v>21597.6313351357</v>
      </c>
      <c r="V506" s="71" t="n">
        <f aca="false">V249+V271+V293+V315+V337+V359+V381+V403+V469+V491</f>
        <v>8706.97934684339</v>
      </c>
      <c r="W506" s="71" t="n">
        <f aca="false">W249+W271+W293+W315+W337+W359+W381+W403+W469+W491</f>
        <v>-8898.92712161715</v>
      </c>
      <c r="X506" s="71" t="n">
        <f aca="false">X249+X271+X293+X315+X337+X359+X381+X403+X469+X491</f>
        <v>12097.2657438564</v>
      </c>
      <c r="Y506" s="71" t="n">
        <f aca="false">Y249+Y271+Y293+Y315+Y337+Y359+Y381+Y403+Y469+Y491</f>
        <v>9710.41167300964</v>
      </c>
      <c r="Z506" s="71" t="n">
        <f aca="false">Z249+Z271+Z293+Z315+Z337+Z359+Z381+Z403+Z469+Z491</f>
        <v>-8862.0030735849</v>
      </c>
      <c r="AA506" s="71" t="n">
        <f aca="false">AA249+AA271+AA293+AA315+AA337+AA359+AA381+AA403+AA469+AA491</f>
        <v>15178.8264196042</v>
      </c>
      <c r="AB506" s="71" t="n">
        <f aca="false">AB249+AB271+AB293+AB315+AB337+AB359+AB381+AB403+AB469+AB491</f>
        <v>5080.90015257706</v>
      </c>
    </row>
    <row r="507" customFormat="false" ht="15" hidden="false" customHeight="false" outlineLevel="0" collapsed="false">
      <c r="A507" s="28" t="s">
        <v>768</v>
      </c>
      <c r="B507" s="58"/>
      <c r="C507" s="59" t="n">
        <f aca="false">SUM(E507:P507)</f>
        <v>0</v>
      </c>
      <c r="D507" s="59" t="n">
        <f aca="false">SUM(Q507:AB507)</f>
        <v>0</v>
      </c>
      <c r="E507" s="71" t="n">
        <f aca="false">0</f>
        <v>0</v>
      </c>
      <c r="F507" s="71" t="n">
        <f aca="false">0</f>
        <v>0</v>
      </c>
      <c r="G507" s="71" t="n">
        <f aca="false">0</f>
        <v>0</v>
      </c>
      <c r="H507" s="71" t="n">
        <f aca="false">0</f>
        <v>0</v>
      </c>
      <c r="I507" s="71" t="n">
        <f aca="false">0</f>
        <v>0</v>
      </c>
      <c r="J507" s="71" t="n">
        <f aca="false">0</f>
        <v>0</v>
      </c>
      <c r="K507" s="71" t="n">
        <f aca="false">0</f>
        <v>0</v>
      </c>
      <c r="L507" s="71" t="n">
        <f aca="false">0</f>
        <v>0</v>
      </c>
      <c r="M507" s="71" t="n">
        <f aca="false">0</f>
        <v>0</v>
      </c>
      <c r="N507" s="71" t="n">
        <f aca="false">0</f>
        <v>0</v>
      </c>
      <c r="O507" s="71" t="n">
        <f aca="false">0</f>
        <v>0</v>
      </c>
      <c r="P507" s="71" t="n">
        <f aca="false">0</f>
        <v>0</v>
      </c>
      <c r="Q507" s="71" t="n">
        <f aca="false">0</f>
        <v>0</v>
      </c>
      <c r="R507" s="71" t="n">
        <f aca="false">0</f>
        <v>0</v>
      </c>
      <c r="S507" s="71" t="n">
        <f aca="false">0</f>
        <v>0</v>
      </c>
      <c r="T507" s="71" t="n">
        <f aca="false">0</f>
        <v>0</v>
      </c>
      <c r="U507" s="71" t="n">
        <f aca="false">0</f>
        <v>0</v>
      </c>
      <c r="V507" s="71" t="n">
        <f aca="false">0</f>
        <v>0</v>
      </c>
      <c r="W507" s="71" t="n">
        <f aca="false">0</f>
        <v>0</v>
      </c>
      <c r="X507" s="71" t="n">
        <f aca="false">0</f>
        <v>0</v>
      </c>
      <c r="Y507" s="71" t="n">
        <f aca="false">0</f>
        <v>0</v>
      </c>
      <c r="Z507" s="71" t="n">
        <f aca="false">0</f>
        <v>0</v>
      </c>
      <c r="AA507" s="71" t="n">
        <f aca="false">0</f>
        <v>0</v>
      </c>
      <c r="AB507" s="71" t="n">
        <f aca="false">0</f>
        <v>0</v>
      </c>
    </row>
    <row r="508" customFormat="false" ht="15" hidden="false" customHeight="false" outlineLevel="0" collapsed="false">
      <c r="A508" s="28" t="s">
        <v>769</v>
      </c>
      <c r="B508" s="58"/>
      <c r="C508" s="59" t="n">
        <f aca="false">P508</f>
        <v>22129.2309159395</v>
      </c>
      <c r="D508" s="59" t="n">
        <f aca="false">AB508</f>
        <v>15688.9001525771</v>
      </c>
      <c r="E508" s="71" t="n">
        <f aca="false">MAX(0,E249)+MAX(0,E271)+MAX(0,E293)+MAX(0,E315)+MAX(0,E337)+MAX(0,E359)+MAX(0,E381)+MAX(0,E403)+MAX(0,E469)+MAX(0,E491)</f>
        <v>27030.74</v>
      </c>
      <c r="F508" s="71" t="n">
        <f aca="false">MAX(0,F249)+MAX(0,F271)+MAX(0,F293)+MAX(0,F315)+MAX(0,F337)+MAX(0,F359)+MAX(0,F381)+MAX(0,F403)+MAX(0,F469)+MAX(0,F491)</f>
        <v>8800.24</v>
      </c>
      <c r="G508" s="71" t="n">
        <f aca="false">MAX(0,G249)+MAX(0,G271)+MAX(0,G293)+MAX(0,G315)+MAX(0,G337)+MAX(0,G359)+MAX(0,G381)+MAX(0,G403)+MAX(0,G469)+MAX(0,G491)</f>
        <v>18847.4</v>
      </c>
      <c r="H508" s="71" t="n">
        <f aca="false">MAX(0,H249)+MAX(0,H271)+MAX(0,H293)+MAX(0,H315)+MAX(0,H337)+MAX(0,H359)+MAX(0,H381)+MAX(0,H403)+MAX(0,H469)+MAX(0,H491)</f>
        <v>19746.51</v>
      </c>
      <c r="I508" s="71" t="n">
        <f aca="false">MAX(0,I249)+MAX(0,I271)+MAX(0,I293)+MAX(0,I315)+MAX(0,I337)+MAX(0,I359)+MAX(0,I381)+MAX(0,I403)+MAX(0,I469)+MAX(0,I491)</f>
        <v>18602.08</v>
      </c>
      <c r="J508" s="71" t="n">
        <f aca="false">MAX(0,J249)+MAX(0,J271)+MAX(0,J293)+MAX(0,J315)+MAX(0,J337)+MAX(0,J359)+MAX(0,J381)+MAX(0,J403)+MAX(0,J469)+MAX(0,J491)</f>
        <v>18210.39</v>
      </c>
      <c r="K508" s="71" t="n">
        <f aca="false">MAX(0,K249)+MAX(0,K271)+MAX(0,K293)+MAX(0,K315)+MAX(0,K337)+MAX(0,K359)+MAX(0,K381)+MAX(0,K403)+MAX(0,K469)+MAX(0,K491)</f>
        <v>29810.68</v>
      </c>
      <c r="L508" s="71" t="n">
        <f aca="false">MAX(0,L249)+MAX(0,L271)+MAX(0,L293)+MAX(0,L315)+MAX(0,L337)+MAX(0,L359)+MAX(0,L381)+MAX(0,L403)+MAX(0,L469)+MAX(0,L491)</f>
        <v>18820.46</v>
      </c>
      <c r="M508" s="71" t="n">
        <f aca="false">MAX(0,M249)+MAX(0,M271)+MAX(0,M293)+MAX(0,M315)+MAX(0,M337)+MAX(0,M359)+MAX(0,M381)+MAX(0,M403)+MAX(0,M469)+MAX(0,M491)</f>
        <v>40900.7438247803</v>
      </c>
      <c r="N508" s="71" t="n">
        <f aca="false">MAX(0,N249)+MAX(0,N271)+MAX(0,N293)+MAX(0,N315)+MAX(0,N337)+MAX(0,N359)+MAX(0,N381)+MAX(0,N403)+MAX(0,N469)+MAX(0,N491)</f>
        <v>20278.843198476</v>
      </c>
      <c r="O508" s="71" t="n">
        <f aca="false">MAX(0,O249)+MAX(0,O271)+MAX(0,O293)+MAX(0,O315)+MAX(0,O337)+MAX(0,O359)+MAX(0,O381)+MAX(0,O403)+MAX(0,O469)+MAX(0,O491)</f>
        <v>28595.0254034656</v>
      </c>
      <c r="P508" s="71" t="n">
        <f aca="false">MAX(0,P249)+MAX(0,P271)+MAX(0,P293)+MAX(0,P315)+MAX(0,P337)+MAX(0,P359)+MAX(0,P381)+MAX(0,P403)+MAX(0,P469)+MAX(0,P491)</f>
        <v>22129.2309159395</v>
      </c>
      <c r="Q508" s="71" t="n">
        <f aca="false">MAX(0,Q249)+MAX(0,Q271)+MAX(0,Q293)+MAX(0,Q315)+MAX(0,Q337)+MAX(0,Q359)+MAX(0,Q381)+MAX(0,Q403)+MAX(0,Q469)+MAX(0,Q491)</f>
        <v>19546.8264196042</v>
      </c>
      <c r="R508" s="71" t="n">
        <f aca="false">MAX(0,R249)+MAX(0,R271)+MAX(0,R293)+MAX(0,R315)+MAX(0,R337)+MAX(0,R359)+MAX(0,R381)+MAX(0,R403)+MAX(0,R469)+MAX(0,R491)</f>
        <v>29383.2411661988</v>
      </c>
      <c r="S508" s="71" t="n">
        <f aca="false">MAX(0,S249)+MAX(0,S271)+MAX(0,S293)+MAX(0,S315)+MAX(0,S337)+MAX(0,S359)+MAX(0,S381)+MAX(0,S403)+MAX(0,S469)+MAX(0,S491)</f>
        <v>20318.4116730097</v>
      </c>
      <c r="T508" s="71" t="n">
        <f aca="false">MAX(0,T249)+MAX(0,T271)+MAX(0,T293)+MAX(0,T315)+MAX(0,T337)+MAX(0,T359)+MAX(0,T381)+MAX(0,T403)+MAX(0,T469)+MAX(0,T491)</f>
        <v>19289.6313351358</v>
      </c>
      <c r="U508" s="71" t="n">
        <f aca="false">MAX(0,U249)+MAX(0,U271)+MAX(0,U293)+MAX(0,U315)+MAX(0,U337)+MAX(0,U359)+MAX(0,U381)+MAX(0,U403)+MAX(0,U469)+MAX(0,U491)</f>
        <v>37597.6313351357</v>
      </c>
      <c r="V508" s="71" t="n">
        <f aca="false">MAX(0,V249)+MAX(0,V271)+MAX(0,V293)+MAX(0,V315)+MAX(0,V337)+MAX(0,V359)+MAX(0,V381)+MAX(0,V403)+MAX(0,V469)+MAX(0,V491)</f>
        <v>19314.9793468434</v>
      </c>
      <c r="W508" s="71" t="n">
        <f aca="false">MAX(0,W249)+MAX(0,W271)+MAX(0,W293)+MAX(0,W315)+MAX(0,W337)+MAX(0,W359)+MAX(0,W381)+MAX(0,W403)+MAX(0,W469)+MAX(0,W491)</f>
        <v>23101.0728783828</v>
      </c>
      <c r="X508" s="71" t="n">
        <f aca="false">MAX(0,X249)+MAX(0,X271)+MAX(0,X293)+MAX(0,X315)+MAX(0,X337)+MAX(0,X359)+MAX(0,X381)+MAX(0,X403)+MAX(0,X469)+MAX(0,X491)</f>
        <v>28097.2657438564</v>
      </c>
      <c r="Y508" s="71" t="n">
        <f aca="false">MAX(0,Y249)+MAX(0,Y271)+MAX(0,Y293)+MAX(0,Y315)+MAX(0,Y337)+MAX(0,Y359)+MAX(0,Y381)+MAX(0,Y403)+MAX(0,Y469)+MAX(0,Y491)</f>
        <v>20318.4116730097</v>
      </c>
      <c r="Z508" s="71" t="n">
        <f aca="false">MAX(0,Z249)+MAX(0,Z271)+MAX(0,Z293)+MAX(0,Z315)+MAX(0,Z337)+MAX(0,Z359)+MAX(0,Z381)+MAX(0,Z403)+MAX(0,Z469)+MAX(0,Z491)</f>
        <v>21089.9969264151</v>
      </c>
      <c r="AA508" s="71" t="n">
        <f aca="false">MAX(0,AA249)+MAX(0,AA271)+MAX(0,AA293)+MAX(0,AA315)+MAX(0,AA337)+MAX(0,AA359)+MAX(0,AA381)+MAX(0,AA403)+MAX(0,AA469)+MAX(0,AA491)</f>
        <v>30154.8264196042</v>
      </c>
      <c r="AB508" s="71" t="n">
        <f aca="false">MAX(0,AB249)+MAX(0,AB271)+MAX(0,AB293)+MAX(0,AB315)+MAX(0,AB337)+MAX(0,AB359)+MAX(0,AB381)+MAX(0,AB403)+MAX(0,AB469)+MAX(0,AB491)</f>
        <v>15688.9001525771</v>
      </c>
    </row>
    <row r="509" customFormat="false" ht="15" hidden="false" customHeight="false" outlineLevel="0" collapsed="false">
      <c r="A509" s="28" t="s">
        <v>770</v>
      </c>
      <c r="B509" s="58"/>
      <c r="C509" s="59" t="n">
        <f aca="false">P509</f>
        <v>0</v>
      </c>
      <c r="D509" s="59" t="n">
        <f aca="false">AB509</f>
        <v>10608</v>
      </c>
      <c r="E509" s="71" t="n">
        <f aca="false">MAX(0,-E249)+MAX(0,-E271)+MAX(0,-E293)+MAX(0,-E315)+MAX(0,-E337)+MAX(0,-E359)+MAX(0,-E381)+MAX(0,-E403)+MAX(0,-E469)+MAX(0,-E491)</f>
        <v>32000</v>
      </c>
      <c r="F509" s="71" t="n">
        <f aca="false">MAX(0,-F249)+MAX(0,-F271)+MAX(0,-F293)+MAX(0,-F315)+MAX(0,-F337)+MAX(0,-F359)+MAX(0,-F381)+MAX(0,-F403)+MAX(0,-F469)+MAX(0,-F491)</f>
        <v>16000</v>
      </c>
      <c r="G509" s="71" t="n">
        <f aca="false">MAX(0,-G249)+MAX(0,-G271)+MAX(0,-G293)+MAX(0,-G315)+MAX(0,-G337)+MAX(0,-G359)+MAX(0,-G381)+MAX(0,-G403)+MAX(0,-G469)+MAX(0,-G491)</f>
        <v>0</v>
      </c>
      <c r="H509" s="71" t="n">
        <f aca="false">MAX(0,-H249)+MAX(0,-H271)+MAX(0,-H293)+MAX(0,-H315)+MAX(0,-H337)+MAX(0,-H359)+MAX(0,-H381)+MAX(0,-H403)+MAX(0,-H469)+MAX(0,-H491)</f>
        <v>32000</v>
      </c>
      <c r="I509" s="71" t="n">
        <f aca="false">MAX(0,-I249)+MAX(0,-I271)+MAX(0,-I293)+MAX(0,-I315)+MAX(0,-I337)+MAX(0,-I359)+MAX(0,-I381)+MAX(0,-I403)+MAX(0,-I469)+MAX(0,-I491)</f>
        <v>37730</v>
      </c>
      <c r="J509" s="71" t="n">
        <f aca="false">MAX(0,-J249)+MAX(0,-J271)+MAX(0,-J293)+MAX(0,-J315)+MAX(0,-J337)+MAX(0,-J359)+MAX(0,-J381)+MAX(0,-J403)+MAX(0,-J469)+MAX(0,-J491)</f>
        <v>3610</v>
      </c>
      <c r="K509" s="71" t="n">
        <f aca="false">MAX(0,-K249)+MAX(0,-K271)+MAX(0,-K293)+MAX(0,-K315)+MAX(0,-K337)+MAX(0,-K359)+MAX(0,-K381)+MAX(0,-K403)+MAX(0,-K469)+MAX(0,-K491)</f>
        <v>32000</v>
      </c>
      <c r="L509" s="71" t="n">
        <f aca="false">MAX(0,-L249)+MAX(0,-L271)+MAX(0,-L293)+MAX(0,-L315)+MAX(0,-L337)+MAX(0,-L359)+MAX(0,-L381)+MAX(0,-L403)+MAX(0,-L469)+MAX(0,-L491)</f>
        <v>16000</v>
      </c>
      <c r="M509" s="71" t="n">
        <f aca="false">MAX(0,-M249)+MAX(0,-M271)+MAX(0,-M293)+MAX(0,-M315)+MAX(0,-M337)+MAX(0,-M359)+MAX(0,-M381)+MAX(0,-M403)+MAX(0,-M469)+MAX(0,-M491)</f>
        <v>0</v>
      </c>
      <c r="N509" s="71" t="n">
        <f aca="false">MAX(0,-N249)+MAX(0,-N271)+MAX(0,-N293)+MAX(0,-N315)+MAX(0,-N337)+MAX(0,-N359)+MAX(0,-N381)+MAX(0,-N403)+MAX(0,-N469)+MAX(0,-N491)</f>
        <v>39043.75</v>
      </c>
      <c r="O509" s="71" t="n">
        <f aca="false">MAX(0,-O249)+MAX(0,-O271)+MAX(0,-O293)+MAX(0,-O315)+MAX(0,-O337)+MAX(0,-O359)+MAX(0,-O381)+MAX(0,-O403)+MAX(0,-O469)+MAX(0,-O491)</f>
        <v>16000</v>
      </c>
      <c r="P509" s="71" t="n">
        <f aca="false">MAX(0,-P249)+MAX(0,-P271)+MAX(0,-P293)+MAX(0,-P315)+MAX(0,-P337)+MAX(0,-P359)+MAX(0,-P381)+MAX(0,-P403)+MAX(0,-P469)+MAX(0,-P491)</f>
        <v>0</v>
      </c>
      <c r="Q509" s="71" t="n">
        <f aca="false">MAX(0,-Q249)+MAX(0,-Q271)+MAX(0,-Q293)+MAX(0,-Q315)+MAX(0,-Q337)+MAX(0,-Q359)+MAX(0,-Q381)+MAX(0,-Q403)+MAX(0,-Q469)+MAX(0,-Q491)</f>
        <v>71984</v>
      </c>
      <c r="R509" s="71" t="n">
        <f aca="false">MAX(0,-R249)+MAX(0,-R271)+MAX(0,-R293)+MAX(0,-R315)+MAX(0,-R337)+MAX(0,-R359)+MAX(0,-R381)+MAX(0,-R403)+MAX(0,-R469)+MAX(0,-R491)</f>
        <v>16000</v>
      </c>
      <c r="S509" s="71" t="n">
        <f aca="false">MAX(0,-S249)+MAX(0,-S271)+MAX(0,-S293)+MAX(0,-S315)+MAX(0,-S337)+MAX(0,-S359)+MAX(0,-S381)+MAX(0,-S403)+MAX(0,-S469)+MAX(0,-S491)</f>
        <v>19306.1481481481</v>
      </c>
      <c r="T509" s="71" t="n">
        <f aca="false">MAX(0,-T249)+MAX(0,-T271)+MAX(0,-T293)+MAX(0,-T315)+MAX(0,-T337)+MAX(0,-T359)+MAX(0,-T381)+MAX(0,-T403)+MAX(0,-T469)+MAX(0,-T491)</f>
        <v>33568.5185185185</v>
      </c>
      <c r="U509" s="71" t="n">
        <f aca="false">MAX(0,-U249)+MAX(0,-U271)+MAX(0,-U293)+MAX(0,-U315)+MAX(0,-U337)+MAX(0,-U359)+MAX(0,-U381)+MAX(0,-U403)+MAX(0,-U469)+MAX(0,-U491)</f>
        <v>16000</v>
      </c>
      <c r="V509" s="71" t="n">
        <f aca="false">MAX(0,-V249)+MAX(0,-V271)+MAX(0,-V293)+MAX(0,-V315)+MAX(0,-V337)+MAX(0,-V359)+MAX(0,-V381)+MAX(0,-V403)+MAX(0,-V469)+MAX(0,-V491)</f>
        <v>10608</v>
      </c>
      <c r="W509" s="71" t="n">
        <f aca="false">MAX(0,-W249)+MAX(0,-W271)+MAX(0,-W293)+MAX(0,-W315)+MAX(0,-W337)+MAX(0,-W359)+MAX(0,-W381)+MAX(0,-W403)+MAX(0,-W469)+MAX(0,-W491)</f>
        <v>32000</v>
      </c>
      <c r="X509" s="71" t="n">
        <f aca="false">MAX(0,-X249)+MAX(0,-X271)+MAX(0,-X293)+MAX(0,-X315)+MAX(0,-X337)+MAX(0,-X359)+MAX(0,-X381)+MAX(0,-X403)+MAX(0,-X469)+MAX(0,-X491)</f>
        <v>16000</v>
      </c>
      <c r="Y509" s="71" t="n">
        <f aca="false">MAX(0,-Y249)+MAX(0,-Y271)+MAX(0,-Y293)+MAX(0,-Y315)+MAX(0,-Y337)+MAX(0,-Y359)+MAX(0,-Y381)+MAX(0,-Y403)+MAX(0,-Y469)+MAX(0,-Y491)</f>
        <v>10608</v>
      </c>
      <c r="Z509" s="71" t="n">
        <f aca="false">MAX(0,-Z249)+MAX(0,-Z271)+MAX(0,-Z293)+MAX(0,-Z315)+MAX(0,-Z337)+MAX(0,-Z359)+MAX(0,-Z381)+MAX(0,-Z403)+MAX(0,-Z469)+MAX(0,-Z491)</f>
        <v>29952</v>
      </c>
      <c r="AA509" s="71" t="n">
        <f aca="false">MAX(0,-AA249)+MAX(0,-AA271)+MAX(0,-AA293)+MAX(0,-AA315)+MAX(0,-AA337)+MAX(0,-AA359)+MAX(0,-AA381)+MAX(0,-AA403)+MAX(0,-AA469)+MAX(0,-AA491)</f>
        <v>14976</v>
      </c>
      <c r="AB509" s="71" t="n">
        <f aca="false">MAX(0,-AB249)+MAX(0,-AB271)+MAX(0,-AB293)+MAX(0,-AB315)+MAX(0,-AB337)+MAX(0,-AB359)+MAX(0,-AB381)+MAX(0,-AB403)+MAX(0,-AB469)+MAX(0,-AB491)</f>
        <v>10608</v>
      </c>
    </row>
    <row r="510" customFormat="false" ht="15" hidden="false" customHeight="false" outlineLevel="0" collapsed="false">
      <c r="A510" s="28" t="s">
        <v>771</v>
      </c>
      <c r="B510" s="58" t="s">
        <v>757</v>
      </c>
      <c r="C510" s="59" t="n">
        <f aca="false">SUM(E510:P510)</f>
        <v>980500</v>
      </c>
      <c r="D510" s="59" t="n">
        <f aca="false">SUM(Q510:AB510)</f>
        <v>1118270</v>
      </c>
      <c r="E510" s="71" t="n">
        <f aca="false">E9+E31+E53+E75+E97+E119+E141+E430</f>
        <v>75000</v>
      </c>
      <c r="F510" s="71" t="n">
        <f aca="false">F9+F31+F53+F75+F97+F119+F141+F430</f>
        <v>75000</v>
      </c>
      <c r="G510" s="71" t="n">
        <f aca="false">G9+G31+G53+G75+G97+G119+G141+G430</f>
        <v>75000</v>
      </c>
      <c r="H510" s="71" t="n">
        <f aca="false">H9+H31+H53+H75+H97+H119+H141+H430</f>
        <v>75000</v>
      </c>
      <c r="I510" s="71" t="n">
        <f aca="false">I9+I31+I53+I75+I97+I119+I141+I430</f>
        <v>75000</v>
      </c>
      <c r="J510" s="71" t="n">
        <f aca="false">J9+J31+J53+J75+J97+J119+J141+J430</f>
        <v>86500</v>
      </c>
      <c r="K510" s="71" t="n">
        <f aca="false">K9+K31+K53+K75+K97+K119+K141+K430</f>
        <v>86500</v>
      </c>
      <c r="L510" s="71" t="n">
        <f aca="false">L9+L31+L53+L75+L97+L119+L141+L430</f>
        <v>86500</v>
      </c>
      <c r="M510" s="71" t="n">
        <f aca="false">M9+M31+M53+M75+M97+M119+M141+M430</f>
        <v>86500</v>
      </c>
      <c r="N510" s="71" t="n">
        <f aca="false">N9+N31+N53+N75+N97+N119+N141+N430</f>
        <v>86500</v>
      </c>
      <c r="O510" s="71" t="n">
        <f aca="false">O9+O31+O53+O75+O97+O119+O141+O430</f>
        <v>86500</v>
      </c>
      <c r="P510" s="71" t="n">
        <f aca="false">P9+P31+P53+P75+P97+P119+P141+P430</f>
        <v>86500</v>
      </c>
      <c r="Q510" s="71" t="n">
        <f aca="false">Q9+Q31+Q53+Q75+Q97+Q119+Q141+Q430</f>
        <v>88180</v>
      </c>
      <c r="R510" s="71" t="n">
        <f aca="false">R9+R31+R53+R75+R97+R119+R141+R430</f>
        <v>88180</v>
      </c>
      <c r="S510" s="71" t="n">
        <f aca="false">S9+S31+S53+S75+S97+S119+S141+S430</f>
        <v>91780</v>
      </c>
      <c r="T510" s="71" t="n">
        <f aca="false">T9+T31+T53+T75+T97+T119+T141+T430</f>
        <v>90820</v>
      </c>
      <c r="U510" s="71" t="n">
        <f aca="false">U9+U31+U53+U75+U97+U119+U141+U430</f>
        <v>90820</v>
      </c>
      <c r="V510" s="71" t="n">
        <f aca="false">V9+V31+V53+V75+V97+V119+V141+V430</f>
        <v>96486</v>
      </c>
      <c r="W510" s="71" t="n">
        <f aca="false">W9+W31+W53+W75+W97+W119+W141+W430</f>
        <v>95334</v>
      </c>
      <c r="X510" s="71" t="n">
        <f aca="false">X9+X31+X53+X75+X97+X119+X141+X430</f>
        <v>95334</v>
      </c>
      <c r="Y510" s="71" t="n">
        <f aca="false">Y9+Y31+Y53+Y75+Y97+Y119+Y141+Y430</f>
        <v>95334</v>
      </c>
      <c r="Z510" s="71" t="n">
        <f aca="false">Z9+Z31+Z53+Z75+Z97+Z119+Z141+Z430</f>
        <v>95334</v>
      </c>
      <c r="AA510" s="71" t="n">
        <f aca="false">AA9+AA31+AA53+AA75+AA97+AA119+AA141+AA430</f>
        <v>95334</v>
      </c>
      <c r="AB510" s="71" t="n">
        <f aca="false">AB9+AB31+AB53+AB75+AB97+AB119+AB141+AB430</f>
        <v>95334</v>
      </c>
    </row>
    <row r="511" customFormat="false" ht="15" hidden="false" customHeight="false" outlineLevel="0" collapsed="false">
      <c r="A511" s="28" t="s">
        <v>772</v>
      </c>
      <c r="B511" s="58" t="s">
        <v>757</v>
      </c>
      <c r="C511" s="59" t="n">
        <f aca="false">SUM(E511:P511)</f>
        <v>394696.2</v>
      </c>
      <c r="D511" s="59" t="n">
        <f aca="false">SUM(Q511:AB511)</f>
        <v>96000</v>
      </c>
      <c r="E511" s="71" t="n">
        <f aca="false">E10+E32+E54+E76+E98+E120+E142+E431</f>
        <v>47936.1</v>
      </c>
      <c r="F511" s="71" t="n">
        <f aca="false">F10+F32+F54+F76+F98+F120+F142+F431</f>
        <v>32757.37</v>
      </c>
      <c r="G511" s="71" t="n">
        <f aca="false">G10+G32+G54+G76+G98+G120+G142+G431</f>
        <v>30395.81</v>
      </c>
      <c r="H511" s="71" t="n">
        <f aca="false">H10+H32+H54+H76+H98+H120+H142+H431</f>
        <v>26746.92</v>
      </c>
      <c r="I511" s="71" t="n">
        <f aca="false">I10+I32+I54+I76+I98+I120+I142+I431</f>
        <v>29290</v>
      </c>
      <c r="J511" s="71" t="n">
        <f aca="false">J10+J32+J54+J76+J98+J120+J142+J431</f>
        <v>36908</v>
      </c>
      <c r="K511" s="71" t="n">
        <f aca="false">K10+K32+K54+K76+K98+K120+K142+K431</f>
        <v>47855.38</v>
      </c>
      <c r="L511" s="71" t="n">
        <f aca="false">L10+L32+L54+L76+L98+L120+L142+L431</f>
        <v>50559.83</v>
      </c>
      <c r="M511" s="71" t="n">
        <f aca="false">M10+M32+M54+M76+M98+M120+M142+M431</f>
        <v>47587.0677777778</v>
      </c>
      <c r="N511" s="71" t="n">
        <f aca="false">N10+N32+N54+N76+N98+N120+N142+N431</f>
        <v>31608.5416666667</v>
      </c>
      <c r="O511" s="71" t="n">
        <f aca="false">O10+O32+O54+O76+O98+O120+O142+O431</f>
        <v>13051.1805555555</v>
      </c>
      <c r="P511" s="71" t="n">
        <f aca="false">P10+P32+P54+P76+P98+P120+P142+P431</f>
        <v>0</v>
      </c>
      <c r="Q511" s="71" t="n">
        <f aca="false">Q10+Q32+Q54+Q76+Q98+Q120+Q142+Q431</f>
        <v>0</v>
      </c>
      <c r="R511" s="71" t="n">
        <f aca="false">R10+R32+R54+R76+R98+R120+R142+R431</f>
        <v>5317.78425655977</v>
      </c>
      <c r="S511" s="71" t="n">
        <f aca="false">S10+S32+S54+S76+S98+S120+S142+S431</f>
        <v>13714.2857142857</v>
      </c>
      <c r="T511" s="71" t="n">
        <f aca="false">T10+T32+T54+T76+T98+T120+T142+T431</f>
        <v>18752.1865889213</v>
      </c>
      <c r="U511" s="71" t="n">
        <f aca="false">U10+U32+U54+U76+U98+U120+U142+U431</f>
        <v>20431.4868804665</v>
      </c>
      <c r="V511" s="71" t="n">
        <f aca="false">V10+V32+V54+V76+V98+V120+V142+V431</f>
        <v>18752.1865889213</v>
      </c>
      <c r="W511" s="71" t="n">
        <f aca="false">W10+W32+W54+W76+W98+W120+W142+W431</f>
        <v>13714.2857142857</v>
      </c>
      <c r="X511" s="71" t="n">
        <f aca="false">X10+X32+X54+X76+X98+X120+X142+X431</f>
        <v>5317.78425655977</v>
      </c>
      <c r="Y511" s="71" t="n">
        <f aca="false">Y10+Y32+Y54+Y76+Y98+Y120+Y142+Y431</f>
        <v>0</v>
      </c>
      <c r="Z511" s="71" t="n">
        <f aca="false">Z10+Z32+Z54+Z76+Z98+Z120+Z142+Z431</f>
        <v>0</v>
      </c>
      <c r="AA511" s="71" t="n">
        <f aca="false">AA10+AA32+AA54+AA76+AA98+AA120+AA142+AA431</f>
        <v>0</v>
      </c>
      <c r="AB511" s="71" t="n">
        <f aca="false">AB10+AB32+AB54+AB76+AB98+AB120+AB142+AB431</f>
        <v>0</v>
      </c>
    </row>
    <row r="512" customFormat="false" ht="15" hidden="false" customHeight="false" outlineLevel="0" collapsed="false">
      <c r="A512" s="28" t="s">
        <v>773</v>
      </c>
      <c r="B512" s="58" t="s">
        <v>757</v>
      </c>
      <c r="C512" s="59" t="n">
        <f aca="false">SUM(E512:P512)</f>
        <v>227012.497000557</v>
      </c>
      <c r="D512" s="59" t="n">
        <f aca="false">SUM(Q512:AB512)</f>
        <v>281511.630865851</v>
      </c>
      <c r="E512" s="71" t="n">
        <f aca="false">E11+E33+E55+E77+E99+E121+E143+E432</f>
        <v>20552.13</v>
      </c>
      <c r="F512" s="71" t="n">
        <f aca="false">F11+F33+F55+F77+F99+F121+F143+F432</f>
        <v>18117.63</v>
      </c>
      <c r="G512" s="71" t="n">
        <f aca="false">G11+G33+G55+G77+G99+G121+G143+G432</f>
        <v>18587.41</v>
      </c>
      <c r="H512" s="71" t="n">
        <f aca="false">H11+H33+H55+H77+H99+H121+H143+H432</f>
        <v>14873.54</v>
      </c>
      <c r="I512" s="71" t="n">
        <f aca="false">I11+I33+I55+I77+I99+I121+I143+I432</f>
        <v>16332.79</v>
      </c>
      <c r="J512" s="71" t="n">
        <f aca="false">J11+J33+J55+J77+J99+J121+J143+J432</f>
        <v>17728.04</v>
      </c>
      <c r="K512" s="71" t="n">
        <f aca="false">K11+K33+K55+K77+K99+K121+K143+K432</f>
        <v>13661.98</v>
      </c>
      <c r="L512" s="71" t="n">
        <f aca="false">L11+L33+L55+L77+L99+L121+L143+L432</f>
        <v>19620.6</v>
      </c>
      <c r="M512" s="71" t="n">
        <f aca="false">M11+M33+M55+M77+M99+M121+M143+M432</f>
        <v>19322.2054952667</v>
      </c>
      <c r="N512" s="71" t="n">
        <f aca="false">N11+N33+N55+N77+N99+N121+N143+N432</f>
        <v>25542.1281435334</v>
      </c>
      <c r="O512" s="71" t="n">
        <f aca="false">O11+O33+O55+O77+O99+O121+O143+O432</f>
        <v>23673.191937909</v>
      </c>
      <c r="P512" s="71" t="n">
        <f aca="false">P11+P33+P55+P77+P99+P121+P143+P432</f>
        <v>19000.851423848</v>
      </c>
      <c r="Q512" s="71" t="n">
        <f aca="false">Q11+Q33+Q55+Q77+Q99+Q121+Q143+Q432</f>
        <v>24620.1196154254</v>
      </c>
      <c r="R512" s="71" t="n">
        <f aca="false">R11+R33+R55+R77+R99+R121+R143+R432</f>
        <v>23648.2727885007</v>
      </c>
      <c r="S512" s="71" t="n">
        <f aca="false">S11+S33+S55+S77+S99+S121+S143+S432</f>
        <v>25591.9664423501</v>
      </c>
      <c r="T512" s="71" t="n">
        <f aca="false">T11+T33+T55+T77+T99+T121+T143+T432</f>
        <v>24296.1706731172</v>
      </c>
      <c r="U512" s="71" t="n">
        <f aca="false">U11+U33+U55+U77+U99+U121+U143+U432</f>
        <v>24296.1706731172</v>
      </c>
      <c r="V512" s="71" t="n">
        <f aca="false">V11+V33+V55+V77+V99+V121+V143+V432</f>
        <v>22352.4770192678</v>
      </c>
      <c r="W512" s="71" t="n">
        <f aca="false">W11+W33+W55+W77+W99+W121+W143+W432</f>
        <v>18141.1407692608</v>
      </c>
      <c r="X512" s="71" t="n">
        <f aca="false">X11+X33+X55+X77+X99+X121+X143+X432</f>
        <v>22028.5280769596</v>
      </c>
      <c r="Y512" s="71" t="n">
        <f aca="false">Y11+Y33+Y55+Y77+Y99+Y121+Y143+Y432</f>
        <v>25591.9664423501</v>
      </c>
      <c r="Z512" s="71" t="n">
        <f aca="false">Z11+Z33+Z55+Z77+Z99+Z121+Z143+Z432</f>
        <v>26563.8132692748</v>
      </c>
      <c r="AA512" s="71" t="n">
        <f aca="false">AA11+AA33+AA55+AA77+AA99+AA121+AA143+AA432</f>
        <v>24620.1196154254</v>
      </c>
      <c r="AB512" s="71" t="n">
        <f aca="false">AB11+AB33+AB55+AB77+AB99+AB121+AB143+AB432</f>
        <v>19760.885480802</v>
      </c>
    </row>
    <row r="513" customFormat="false" ht="15" hidden="false" customHeight="false" outlineLevel="0" collapsed="false">
      <c r="A513" s="28" t="s">
        <v>774</v>
      </c>
      <c r="B513" s="58" t="s">
        <v>757</v>
      </c>
      <c r="C513" s="59" t="n">
        <f aca="false">SUM(E513:P513)</f>
        <v>68414.74</v>
      </c>
      <c r="D513" s="59" t="n">
        <f aca="false">SUM(Q513:AB513)</f>
        <v>60857.5</v>
      </c>
      <c r="E513" s="71" t="n">
        <f aca="false">E12+E34+E56+E78+E100+E122+E144+E433</f>
        <v>5174.76</v>
      </c>
      <c r="F513" s="71" t="n">
        <f aca="false">F12+F34+F56+F78+F100+F122+F144+F433</f>
        <v>4773.96</v>
      </c>
      <c r="G513" s="71" t="n">
        <f aca="false">G12+G34+G56+G78+G100+G122+G144+G433</f>
        <v>5334.27</v>
      </c>
      <c r="H513" s="71" t="n">
        <f aca="false">H12+H34+H56+H78+H100+H122+H144+H433</f>
        <v>6207.19</v>
      </c>
      <c r="I513" s="71" t="n">
        <f aca="false">I12+I34+I56+I78+I100+I122+I144+I433</f>
        <v>5624.28</v>
      </c>
      <c r="J513" s="71" t="n">
        <f aca="false">J12+J34+J56+J78+J100+J122+J144+J433</f>
        <v>4924.87</v>
      </c>
      <c r="K513" s="71" t="n">
        <f aca="false">K12+K34+K56+K78+K100+K122+K144+K433</f>
        <v>4798.89</v>
      </c>
      <c r="L513" s="71" t="n">
        <f aca="false">L12+L34+L56+L78+L100+L122+L144+L433</f>
        <v>6001.52</v>
      </c>
      <c r="M513" s="71" t="n">
        <f aca="false">M12+M34+M56+M78+M100+M122+M144+M433</f>
        <v>5500</v>
      </c>
      <c r="N513" s="71" t="n">
        <f aca="false">N12+N34+N56+N78+N100+N122+N144+N433</f>
        <v>6050</v>
      </c>
      <c r="O513" s="71" t="n">
        <f aca="false">O12+O34+O56+O78+O100+O122+O144+O433</f>
        <v>7425</v>
      </c>
      <c r="P513" s="71" t="n">
        <f aca="false">P12+P34+P56+P78+P100+P122+P144+P433</f>
        <v>6600</v>
      </c>
      <c r="Q513" s="71" t="n">
        <f aca="false">Q12+Q34+Q56+Q78+Q100+Q122+Q144+Q433</f>
        <v>4675</v>
      </c>
      <c r="R513" s="71" t="n">
        <f aca="false">R12+R34+R56+R78+R100+R122+R144+R433</f>
        <v>4675</v>
      </c>
      <c r="S513" s="71" t="n">
        <f aca="false">S12+S34+S56+S78+S100+S122+S144+S433</f>
        <v>5225</v>
      </c>
      <c r="T513" s="71" t="n">
        <f aca="false">T12+T34+T56+T78+T100+T122+T144+T433</f>
        <v>4950</v>
      </c>
      <c r="U513" s="71" t="n">
        <f aca="false">U12+U34+U56+U78+U100+U122+U144+U433</f>
        <v>4950</v>
      </c>
      <c r="V513" s="71" t="n">
        <f aca="false">V12+V34+V56+V78+V100+V122+V144+V433</f>
        <v>4702.5</v>
      </c>
      <c r="W513" s="71" t="n">
        <f aca="false">W12+W34+W56+W78+W100+W122+W144+W433</f>
        <v>4207.5</v>
      </c>
      <c r="X513" s="71" t="n">
        <f aca="false">X12+X34+X56+X78+X100+X122+X144+X433</f>
        <v>4455</v>
      </c>
      <c r="Y513" s="71" t="n">
        <f aca="false">Y12+Y34+Y56+Y78+Y100+Y122+Y144+Y433</f>
        <v>4950</v>
      </c>
      <c r="Z513" s="71" t="n">
        <f aca="false">Z12+Z34+Z56+Z78+Z100+Z122+Z144+Z433</f>
        <v>5445</v>
      </c>
      <c r="AA513" s="71" t="n">
        <f aca="false">AA12+AA34+AA56+AA78+AA100+AA122+AA144+AA433</f>
        <v>6682.5</v>
      </c>
      <c r="AB513" s="71" t="n">
        <f aca="false">AB12+AB34+AB56+AB78+AB100+AB122+AB144+AB433</f>
        <v>5940</v>
      </c>
    </row>
    <row r="514" customFormat="false" ht="15" hidden="false" customHeight="false" outlineLevel="0" collapsed="false">
      <c r="A514" s="28" t="s">
        <v>775</v>
      </c>
      <c r="B514" s="58" t="s">
        <v>757</v>
      </c>
      <c r="C514" s="59" t="n">
        <f aca="false">SUM(E514:P514)</f>
        <v>13797.9093</v>
      </c>
      <c r="D514" s="59" t="n">
        <f aca="false">SUM(Q514:AB514)</f>
        <v>0</v>
      </c>
      <c r="E514" s="71" t="n">
        <f aca="false">E13+E35+E57+E79+E101+E123+E145+E434</f>
        <v>0</v>
      </c>
      <c r="F514" s="71" t="n">
        <f aca="false">F13+F35+F57+F79+F101+F123+F145+F434</f>
        <v>0</v>
      </c>
      <c r="G514" s="71" t="n">
        <f aca="false">G13+G35+G57+G79+G101+G123+G145+G434</f>
        <v>0</v>
      </c>
      <c r="H514" s="71" t="n">
        <f aca="false">H13+H35+H57+H79+H101+H123+H145+H434</f>
        <v>0</v>
      </c>
      <c r="I514" s="71" t="n">
        <f aca="false">I13+I35+I57+I79+I101+I123+I145+I434</f>
        <v>0</v>
      </c>
      <c r="J514" s="71" t="n">
        <f aca="false">J13+J35+J57+J79+J101+J123+J145+J434</f>
        <v>0</v>
      </c>
      <c r="K514" s="71" t="n">
        <f aca="false">K13+K35+K57+K79+K101+K123+K145+K434</f>
        <v>4147.7625</v>
      </c>
      <c r="L514" s="71" t="n">
        <f aca="false">L13+L35+L57+L79+L101+L123+L145+L434</f>
        <v>5513.3484</v>
      </c>
      <c r="M514" s="71" t="n">
        <f aca="false">M13+M35+M57+M79+M101+M123+M145+M434</f>
        <v>1991.79182222222</v>
      </c>
      <c r="N514" s="71" t="n">
        <f aca="false">N13+N35+N57+N79+N101+N123+N145+N434</f>
        <v>1532.14755555555</v>
      </c>
      <c r="O514" s="71" t="n">
        <f aca="false">O13+O35+O57+O79+O101+O123+O145+O434</f>
        <v>612.859022222223</v>
      </c>
      <c r="P514" s="71" t="n">
        <f aca="false">P13+P35+P57+P79+P101+P123+P145+P434</f>
        <v>0</v>
      </c>
      <c r="Q514" s="71" t="n">
        <f aca="false">Q13+Q35+Q57+Q79+Q101+Q123+Q145+Q434</f>
        <v>0</v>
      </c>
      <c r="R514" s="71" t="n">
        <f aca="false">R13+R35+R57+R79+R101+R123+R145+R434</f>
        <v>0</v>
      </c>
      <c r="S514" s="71" t="n">
        <f aca="false">S13+S35+S57+S79+S101+S123+S145+S434</f>
        <v>0</v>
      </c>
      <c r="T514" s="71" t="n">
        <f aca="false">T13+T35+T57+T79+T101+T123+T145+T434</f>
        <v>0</v>
      </c>
      <c r="U514" s="71" t="n">
        <f aca="false">U13+U35+U57+U79+U101+U123+U145+U434</f>
        <v>0</v>
      </c>
      <c r="V514" s="71" t="n">
        <f aca="false">V13+V35+V57+V79+V101+V123+V145+V434</f>
        <v>0</v>
      </c>
      <c r="W514" s="71" t="n">
        <f aca="false">W13+W35+W57+W79+W101+W123+W145+W434</f>
        <v>0</v>
      </c>
      <c r="X514" s="71" t="n">
        <f aca="false">X13+X35+X57+X79+X101+X123+X145+X434</f>
        <v>0</v>
      </c>
      <c r="Y514" s="71" t="n">
        <f aca="false">Y13+Y35+Y57+Y79+Y101+Y123+Y145+Y434</f>
        <v>0</v>
      </c>
      <c r="Z514" s="71" t="n">
        <f aca="false">Z13+Z35+Z57+Z79+Z101+Z123+Z145+Z434</f>
        <v>0</v>
      </c>
      <c r="AA514" s="71" t="n">
        <f aca="false">AA13+AA35+AA57+AA79+AA101+AA123+AA145+AA434</f>
        <v>0</v>
      </c>
      <c r="AB514" s="71" t="n">
        <f aca="false">AB13+AB35+AB57+AB79+AB101+AB123+AB145+AB434</f>
        <v>0</v>
      </c>
    </row>
    <row r="515" customFormat="false" ht="15" hidden="false" customHeight="false" outlineLevel="0" collapsed="false">
      <c r="A515" s="28" t="s">
        <v>776</v>
      </c>
      <c r="B515" s="58" t="s">
        <v>757</v>
      </c>
      <c r="C515" s="59" t="n">
        <f aca="false">SUM(E515:P515)</f>
        <v>684147.39</v>
      </c>
      <c r="D515" s="59" t="n">
        <f aca="false">SUM(Q515:AB515)</f>
        <v>608575</v>
      </c>
      <c r="E515" s="71" t="n">
        <f aca="false">E20+E42+E64+E86+E108+E130+E152+E441</f>
        <v>51747.62</v>
      </c>
      <c r="F515" s="71" t="n">
        <f aca="false">F20+F42+F64+F86+F108+F130+F152+F441</f>
        <v>47739.56</v>
      </c>
      <c r="G515" s="71" t="n">
        <f aca="false">G20+G42+G64+G86+G108+G130+G152+G441</f>
        <v>53342.71</v>
      </c>
      <c r="H515" s="71" t="n">
        <f aca="false">H20+H42+H64+H86+H108+H130+H152+H441</f>
        <v>62071.92</v>
      </c>
      <c r="I515" s="71" t="n">
        <f aca="false">I20+I42+I64+I86+I108+I130+I152+I441</f>
        <v>56242.76</v>
      </c>
      <c r="J515" s="71" t="n">
        <f aca="false">J20+J42+J64+J86+J108+J130+J152+J441</f>
        <v>49248.69</v>
      </c>
      <c r="K515" s="71" t="n">
        <f aca="false">K20+K42+K64+K86+K108+K130+K152+K441</f>
        <v>47988.9</v>
      </c>
      <c r="L515" s="71" t="n">
        <f aca="false">L20+L42+L64+L86+L108+L130+L152+L441</f>
        <v>60015.23</v>
      </c>
      <c r="M515" s="71" t="n">
        <f aca="false">M20+M42+M64+M86+M108+M130+M152+M441</f>
        <v>55000</v>
      </c>
      <c r="N515" s="71" t="n">
        <f aca="false">N20+N42+N64+N86+N108+N130+N152+N441</f>
        <v>60500</v>
      </c>
      <c r="O515" s="71" t="n">
        <f aca="false">O20+O42+O64+O86+O108+O130+O152+O441</f>
        <v>74250</v>
      </c>
      <c r="P515" s="71" t="n">
        <f aca="false">P20+P42+P64+P86+P108+P130+P152+P441</f>
        <v>66000</v>
      </c>
      <c r="Q515" s="71" t="n">
        <f aca="false">Q20+Q42+Q64+Q86+Q108+Q130+Q152+Q441</f>
        <v>46750</v>
      </c>
      <c r="R515" s="71" t="n">
        <f aca="false">R20+R42+R64+R86+R108+R130+R152+R441</f>
        <v>46750</v>
      </c>
      <c r="S515" s="71" t="n">
        <f aca="false">S20+S42+S64+S86+S108+S130+S152+S441</f>
        <v>52250</v>
      </c>
      <c r="T515" s="71" t="n">
        <f aca="false">T20+T42+T64+T86+T108+T130+T152+T441</f>
        <v>49500</v>
      </c>
      <c r="U515" s="71" t="n">
        <f aca="false">U20+U42+U64+U86+U108+U130+U152+U441</f>
        <v>49500</v>
      </c>
      <c r="V515" s="71" t="n">
        <f aca="false">V20+V42+V64+V86+V108+V130+V152+V441</f>
        <v>47025</v>
      </c>
      <c r="W515" s="71" t="n">
        <f aca="false">W20+W42+W64+W86+W108+W130+W152+W441</f>
        <v>42075</v>
      </c>
      <c r="X515" s="71" t="n">
        <f aca="false">X20+X42+X64+X86+X108+X130+X152+X441</f>
        <v>44550</v>
      </c>
      <c r="Y515" s="71" t="n">
        <f aca="false">Y20+Y42+Y64+Y86+Y108+Y130+Y152+Y441</f>
        <v>49500</v>
      </c>
      <c r="Z515" s="71" t="n">
        <f aca="false">Z20+Z42+Z64+Z86+Z108+Z130+Z152+Z441</f>
        <v>54450</v>
      </c>
      <c r="AA515" s="71" t="n">
        <f aca="false">AA20+AA42+AA64+AA86+AA108+AA130+AA152+AA441</f>
        <v>66825</v>
      </c>
      <c r="AB515" s="71" t="n">
        <f aca="false">AB20+AB42+AB64+AB86+AB108+AB130+AB152+AB441</f>
        <v>59400</v>
      </c>
    </row>
    <row r="516" customFormat="false" ht="15" hidden="false" customHeight="false" outlineLevel="0" collapsed="false">
      <c r="A516" s="28" t="s">
        <v>777</v>
      </c>
      <c r="B516" s="58" t="s">
        <v>757</v>
      </c>
      <c r="C516" s="59" t="n">
        <f aca="false">SUM(E516:P516)</f>
        <v>0</v>
      </c>
      <c r="D516" s="59" t="n">
        <f aca="false">SUM(Q516:AB516)</f>
        <v>0</v>
      </c>
      <c r="E516" s="71" t="n">
        <f aca="false">E22+E44+E66+E88+E110+E132+E154+E443</f>
        <v>0</v>
      </c>
      <c r="F516" s="71" t="n">
        <f aca="false">F22+F44+F66+F88+F110+F132+F154+F443</f>
        <v>0</v>
      </c>
      <c r="G516" s="71" t="n">
        <f aca="false">G22+G44+G66+G88+G110+G132+G154+G443</f>
        <v>0</v>
      </c>
      <c r="H516" s="71" t="n">
        <f aca="false">H22+H44+H66+H88+H110+H132+H154+H443</f>
        <v>0</v>
      </c>
      <c r="I516" s="71" t="n">
        <f aca="false">I22+I44+I66+I88+I110+I132+I154+I443</f>
        <v>0</v>
      </c>
      <c r="J516" s="71" t="n">
        <f aca="false">J22+J44+J66+J88+J110+J132+J154+J443</f>
        <v>0</v>
      </c>
      <c r="K516" s="71" t="n">
        <f aca="false">K22+K44+K66+K88+K110+K132+K154+K443</f>
        <v>0</v>
      </c>
      <c r="L516" s="71" t="n">
        <f aca="false">L22+L44+L66+L88+L110+L132+L154+L443</f>
        <v>0</v>
      </c>
      <c r="M516" s="71" t="n">
        <f aca="false">M22+M44+M66+M88+M110+M132+M154+M443</f>
        <v>0</v>
      </c>
      <c r="N516" s="71" t="n">
        <f aca="false">N22+N44+N66+N88+N110+N132+N154+N443</f>
        <v>0</v>
      </c>
      <c r="O516" s="71" t="n">
        <f aca="false">O22+O44+O66+O88+O110+O132+O154+O443</f>
        <v>0</v>
      </c>
      <c r="P516" s="71" t="n">
        <f aca="false">P22+P44+P66+P88+P110+P132+P154+P443</f>
        <v>0</v>
      </c>
      <c r="Q516" s="71" t="n">
        <f aca="false">Q22+Q44+Q66+Q88+Q110+Q132+Q154+Q443</f>
        <v>0</v>
      </c>
      <c r="R516" s="71" t="n">
        <f aca="false">R22+R44+R66+R88+R110+R132+R154+R443</f>
        <v>0</v>
      </c>
      <c r="S516" s="71" t="n">
        <f aca="false">S22+S44+S66+S88+S110+S132+S154+S443</f>
        <v>0</v>
      </c>
      <c r="T516" s="71" t="n">
        <f aca="false">T22+T44+T66+T88+T110+T132+T154+T443</f>
        <v>0</v>
      </c>
      <c r="U516" s="71" t="n">
        <f aca="false">U22+U44+U66+U88+U110+U132+U154+U443</f>
        <v>0</v>
      </c>
      <c r="V516" s="71" t="n">
        <f aca="false">V22+V44+V66+V88+V110+V132+V154+V443</f>
        <v>0</v>
      </c>
      <c r="W516" s="71" t="n">
        <f aca="false">W22+W44+W66+W88+W110+W132+W154+W443</f>
        <v>0</v>
      </c>
      <c r="X516" s="71" t="n">
        <f aca="false">X22+X44+X66+X88+X110+X132+X154+X443</f>
        <v>0</v>
      </c>
      <c r="Y516" s="71" t="n">
        <f aca="false">Y22+Y44+Y66+Y88+Y110+Y132+Y154+Y443</f>
        <v>0</v>
      </c>
      <c r="Z516" s="71" t="n">
        <f aca="false">Z22+Z44+Z66+Z88+Z110+Z132+Z154+Z443</f>
        <v>0</v>
      </c>
      <c r="AA516" s="71" t="n">
        <f aca="false">AA22+AA44+AA66+AA88+AA110+AA132+AA154+AA443</f>
        <v>0</v>
      </c>
      <c r="AB516" s="71" t="n">
        <f aca="false">AB22+AB44+AB66+AB88+AB110+AB132+AB154+AB443</f>
        <v>0</v>
      </c>
    </row>
    <row r="517" customFormat="false" ht="15" hidden="false" customHeight="false" outlineLevel="0" collapsed="false">
      <c r="A517" s="28" t="s">
        <v>778</v>
      </c>
      <c r="B517" s="58" t="s">
        <v>757</v>
      </c>
      <c r="C517" s="59" t="n">
        <f aca="false">SUM(E517:P517)</f>
        <v>2405567.07487671</v>
      </c>
      <c r="D517" s="59" t="n">
        <f aca="false">SUM(Q517:AB517)</f>
        <v>2164454.0968089</v>
      </c>
      <c r="E517" s="71" t="n">
        <f aca="false">E23+E45+E67+E89+E111+E133+E155+E444</f>
        <v>262117.77</v>
      </c>
      <c r="F517" s="71" t="n">
        <f aca="false">F23+F45+F67+F89+F111+F133+F155+F444</f>
        <v>133065.65</v>
      </c>
      <c r="G517" s="71" t="n">
        <f aca="false">G23+G45+G67+G89+G111+G133+G155+G444</f>
        <v>208794.61</v>
      </c>
      <c r="H517" s="71" t="n">
        <f aca="false">H23+H45+H67+H89+H111+H133+H155+H444</f>
        <v>227866.52</v>
      </c>
      <c r="I517" s="71" t="n">
        <f aca="false">I23+I45+I67+I89+I111+I133+I155+I444</f>
        <v>136740.58</v>
      </c>
      <c r="J517" s="71" t="n">
        <f aca="false">J23+J45+J67+J89+J111+J133+J155+J444</f>
        <v>216806.35</v>
      </c>
      <c r="K517" s="71" t="n">
        <f aca="false">K23+K45+K67+K89+K111+K133+K155+K444</f>
        <v>216663.5925</v>
      </c>
      <c r="L517" s="71" t="n">
        <f aca="false">L23+L45+L67+L89+L111+L133+L155+L444</f>
        <v>156692.0784</v>
      </c>
      <c r="M517" s="71" t="n">
        <f aca="false">M23+M45+M67+M89+M111+M133+M155+M444</f>
        <v>253512.391822222</v>
      </c>
      <c r="N517" s="71" t="n">
        <f aca="false">N23+N45+N67+N89+N111+N133+N155+N444</f>
        <v>203904.353050822</v>
      </c>
      <c r="O517" s="71" t="n">
        <f aca="false">O23+O45+O67+O89+O111+O133+O155+O444</f>
        <v>221629.987165756</v>
      </c>
      <c r="P517" s="71" t="n">
        <f aca="false">P23+P45+P67+P89+P111+P133+P155+P444</f>
        <v>167773.191937909</v>
      </c>
      <c r="Q517" s="71" t="n">
        <f aca="false">Q23+Q45+Q67+Q89+Q111+Q133+Q155+Q444</f>
        <v>188605.851423848</v>
      </c>
      <c r="R517" s="71" t="n">
        <f aca="false">R23+R45+R67+R89+R111+R133+R155+R444</f>
        <v>178025.119615425</v>
      </c>
      <c r="S517" s="71" t="n">
        <f aca="false">S23+S45+S67+S89+S111+S133+S155+S444</f>
        <v>157903.272788501</v>
      </c>
      <c r="T517" s="71" t="n">
        <f aca="false">T23+T45+T67+T89+T111+T133+T155+T444</f>
        <v>198941.96644235</v>
      </c>
      <c r="U517" s="71" t="n">
        <f aca="false">U23+U45+U67+U89+U111+U133+U155+U444</f>
        <v>193926.170673117</v>
      </c>
      <c r="V517" s="71" t="n">
        <f aca="false">V23+V45+V67+V89+V111+V133+V155+V444</f>
        <v>158469.670673117</v>
      </c>
      <c r="W517" s="71" t="n">
        <f aca="false">W23+W45+W67+W89+W111+W133+W155+W444</f>
        <v>192048.977019268</v>
      </c>
      <c r="X517" s="71" t="n">
        <f aca="false">X23+X45+X67+X89+X111+X133+X155+X444</f>
        <v>177240.140769261</v>
      </c>
      <c r="Y517" s="71" t="n">
        <f aca="false">Y23+Y45+Y67+Y89+Y111+Y133+Y155+Y444</f>
        <v>157772.52807696</v>
      </c>
      <c r="Z517" s="71" t="n">
        <f aca="false">Z23+Z45+Z67+Z89+Z111+Z133+Z155+Z444</f>
        <v>208900.96644235</v>
      </c>
      <c r="AA517" s="71" t="n">
        <f aca="false">AA23+AA45+AA67+AA89+AA111+AA133+AA155+AA444</f>
        <v>181365.313269275</v>
      </c>
      <c r="AB517" s="71" t="n">
        <f aca="false">AB23+AB45+AB67+AB89+AB111+AB133+AB155+AB444</f>
        <v>171254.119615425</v>
      </c>
    </row>
    <row r="518" customFormat="false" ht="15" hidden="false" customHeight="false" outlineLevel="0" collapsed="false">
      <c r="A518" s="28" t="s">
        <v>779</v>
      </c>
      <c r="B518" s="58" t="s">
        <v>757</v>
      </c>
      <c r="C518" s="59" t="n">
        <f aca="false">SUM(E518:P518)</f>
        <v>2385634.73287164</v>
      </c>
      <c r="D518" s="59" t="n">
        <f aca="false">SUM(Q518:AB518)</f>
        <v>2160442.04992869</v>
      </c>
      <c r="E518" s="71" t="n">
        <f aca="false">E24+E46+E68+E90+E112+E134+E156+E445</f>
        <v>149939.48</v>
      </c>
      <c r="F518" s="71" t="n">
        <f aca="false">F24+F46+F68+F90+F112+F134+F156+F445</f>
        <v>263577.32</v>
      </c>
      <c r="G518" s="71" t="n">
        <f aca="false">G24+G46+G68+G90+G112+G134+G156+G445</f>
        <v>138292.92</v>
      </c>
      <c r="H518" s="71" t="n">
        <f aca="false">H24+H46+H68+H90+H112+H134+H156+H445</f>
        <v>196524.27</v>
      </c>
      <c r="I518" s="71" t="n">
        <f aca="false">I24+I46+I68+I90+I112+I134+I156+I445</f>
        <v>230248.72</v>
      </c>
      <c r="J518" s="71" t="n">
        <f aca="false">J24+J46+J68+J90+J112+J134+J156+J445</f>
        <v>147905.64</v>
      </c>
      <c r="K518" s="71" t="n">
        <f aca="false">K24+K46+K68+K90+K112+K134+K156+K445</f>
        <v>224546.34</v>
      </c>
      <c r="L518" s="71" t="n">
        <f aca="false">L24+L46+L68+L90+L112+L134+L156+L445</f>
        <v>206133.27</v>
      </c>
      <c r="M518" s="71" t="n">
        <f aca="false">M24+M46+M68+M90+M112+M134+M156+M445</f>
        <v>156867.0309</v>
      </c>
      <c r="N518" s="71" t="n">
        <f aca="false">N24+N46+N68+N90+N112+N134+N156+N445</f>
        <v>244866.415155556</v>
      </c>
      <c r="O518" s="71" t="n">
        <f aca="false">O24+O46+O68+O90+O112+O134+O156+O445</f>
        <v>209720.216969856</v>
      </c>
      <c r="P518" s="71" t="n">
        <f aca="false">P24+P46+P68+P90+P112+P134+P156+P445</f>
        <v>217013.109846225</v>
      </c>
      <c r="Q518" s="71" t="n">
        <f aca="false">Q24+Q46+Q68+Q90+Q112+Q134+Q156+Q445</f>
        <v>172756.94657697</v>
      </c>
      <c r="R518" s="71" t="n">
        <f aca="false">R24+R46+R68+R90+R112+R134+R156+R445</f>
        <v>190160.2380215</v>
      </c>
      <c r="S518" s="71" t="n">
        <f aca="false">S24+S46+S68+S90+S112+S134+S156+S445</f>
        <v>161418.964000649</v>
      </c>
      <c r="T518" s="71" t="n">
        <f aca="false">T24+T46+T68+T90+T112+T134+T156+T445</f>
        <v>172084.825200812</v>
      </c>
      <c r="U518" s="71" t="n">
        <f aca="false">U24+U46+U68+U90+U112+U134+U156+U445</f>
        <v>198178.861617727</v>
      </c>
      <c r="V518" s="71" t="n">
        <f aca="false">V24+V46+V68+V90+V112+V134+V156+V445</f>
        <v>175234.907222866</v>
      </c>
      <c r="W518" s="71" t="n">
        <f aca="false">W24+W46+W68+W90+W112+W134+W156+W445</f>
        <v>174169.670673117</v>
      </c>
      <c r="X518" s="71" t="n">
        <f aca="false">X24+X46+X68+X90+X112+X134+X156+X445</f>
        <v>192812.081843891</v>
      </c>
      <c r="Y518" s="71" t="n">
        <f aca="false">Y24+Y46+Y68+Y90+Y112+Y134+Y156+Y445</f>
        <v>164493.534555944</v>
      </c>
      <c r="Z518" s="71" t="n">
        <f aca="false">Z24+Z46+Z68+Z90+Z112+Z134+Z156+Z445</f>
        <v>170646.318427713</v>
      </c>
      <c r="AA518" s="71" t="n">
        <f aca="false">AA24+AA46+AA68+AA90+AA112+AA134+AA156+AA445</f>
        <v>207501.940930541</v>
      </c>
      <c r="AB518" s="71" t="n">
        <f aca="false">AB24+AB46+AB68+AB90+AB112+AB134+AB156+AB445</f>
        <v>180983.760856963</v>
      </c>
    </row>
    <row r="519" customFormat="false" ht="15" hidden="false" customHeight="false" outlineLevel="0" collapsed="false">
      <c r="A519" s="28" t="s">
        <v>780</v>
      </c>
      <c r="B519" s="58" t="s">
        <v>757</v>
      </c>
      <c r="C519" s="59" t="n">
        <f aca="false">P519</f>
        <v>189051.172005073</v>
      </c>
      <c r="D519" s="59" t="n">
        <f aca="false">AB519</f>
        <v>193063.218885276</v>
      </c>
      <c r="E519" s="71" t="n">
        <f aca="false">E25+E47+E69+E91+E113+E135+E157+E446</f>
        <v>281297.12</v>
      </c>
      <c r="F519" s="71" t="n">
        <f aca="false">F25+F47+F69+F91+F113+F135+F157+F446</f>
        <v>150785.45</v>
      </c>
      <c r="G519" s="71" t="n">
        <f aca="false">G25+G47+G69+G91+G113+G135+G157+G446</f>
        <v>221287.14</v>
      </c>
      <c r="H519" s="71" t="n">
        <f aca="false">H25+H47+H69+H91+H113+H135+H157+H446</f>
        <v>252629.39</v>
      </c>
      <c r="I519" s="71" t="n">
        <f aca="false">I25+I47+I69+I91+I113+I135+I157+I446</f>
        <v>159121.25</v>
      </c>
      <c r="J519" s="71" t="n">
        <f aca="false">J25+J47+J69+J91+J113+J135+J157+J446</f>
        <v>228021.96</v>
      </c>
      <c r="K519" s="71" t="n">
        <f aca="false">K25+K47+K69+K91+K113+K135+K157+K446</f>
        <v>220139.2125</v>
      </c>
      <c r="L519" s="71" t="n">
        <f aca="false">L25+L47+L69+L91+L113+L135+L157+L446</f>
        <v>170698.0209</v>
      </c>
      <c r="M519" s="71" t="n">
        <f aca="false">M25+M47+M69+M91+M113+M135+M157+M446</f>
        <v>267343.381822222</v>
      </c>
      <c r="N519" s="71" t="n">
        <f aca="false">N25+N47+N69+N91+N113+N135+N157+N446</f>
        <v>226381.319717489</v>
      </c>
      <c r="O519" s="71" t="n">
        <f aca="false">O25+O47+O69+O91+O113+O135+O157+O446</f>
        <v>238291.089913389</v>
      </c>
      <c r="P519" s="71" t="n">
        <f aca="false">P25+P47+P69+P91+P113+P135+P157+P446</f>
        <v>189051.172005073</v>
      </c>
      <c r="Q519" s="71" t="n">
        <f aca="false">Q25+Q47+Q69+Q91+Q113+Q135+Q157+Q446</f>
        <v>204900.076851951</v>
      </c>
      <c r="R519" s="71" t="n">
        <f aca="false">R25+R47+R69+R91+R113+R135+R157+R446</f>
        <v>192764.958445876</v>
      </c>
      <c r="S519" s="71" t="n">
        <f aca="false">S25+S47+S69+S91+S113+S135+S157+S446</f>
        <v>189249.267233728</v>
      </c>
      <c r="T519" s="71" t="n">
        <f aca="false">T25+T47+T69+T91+T113+T135+T157+T446</f>
        <v>216106.408475266</v>
      </c>
      <c r="U519" s="71" t="n">
        <f aca="false">U25+U47+U69+U91+U113+U135+U157+U446</f>
        <v>211853.717530656</v>
      </c>
      <c r="V519" s="71" t="n">
        <f aca="false">V25+V47+V69+V91+V113+V135+V157+V446</f>
        <v>195088.480980907</v>
      </c>
      <c r="W519" s="71" t="n">
        <f aca="false">W25+W47+W69+W91+W113+W135+W157+W446</f>
        <v>212967.787327058</v>
      </c>
      <c r="X519" s="71" t="n">
        <f aca="false">X25+X47+X69+X91+X113+X135+X157+X446</f>
        <v>197395.846252428</v>
      </c>
      <c r="Y519" s="71" t="n">
        <f aca="false">Y25+Y47+Y69+Y91+Y113+Y135+Y157+Y446</f>
        <v>190674.839773443</v>
      </c>
      <c r="Z519" s="71" t="n">
        <f aca="false">Z25+Z47+Z69+Z91+Z113+Z135+Z157+Z446</f>
        <v>228929.48778808</v>
      </c>
      <c r="AA519" s="71" t="n">
        <f aca="false">AA25+AA47+AA69+AA91+AA113+AA135+AA157+AA446</f>
        <v>202792.860126813</v>
      </c>
      <c r="AB519" s="71" t="n">
        <f aca="false">AB25+AB47+AB69+AB91+AB113+AB135+AB157+AB446</f>
        <v>193063.218885276</v>
      </c>
    </row>
    <row r="520" customFormat="false" ht="15" hidden="false" customHeight="false" outlineLevel="0" collapsed="false">
      <c r="A520" s="28" t="s">
        <v>781</v>
      </c>
      <c r="B520" s="58" t="s">
        <v>757</v>
      </c>
      <c r="C520" s="59" t="n">
        <f aca="false">P520</f>
        <v>19000.8514238481</v>
      </c>
      <c r="D520" s="59" t="n">
        <f aca="false">AB520</f>
        <v>19760.885480802</v>
      </c>
      <c r="E520" s="71" t="n">
        <f aca="false">E26+E48+E70+E92+E114+E136+E158+E447</f>
        <v>-5707.97</v>
      </c>
      <c r="F520" s="71" t="n">
        <f aca="false">F26+F48+F70+F92+F114+F136+F158+F447</f>
        <v>39614.9</v>
      </c>
      <c r="G520" s="71" t="n">
        <f aca="false">G26+G48+G70+G92+G114+G136+G158+G447</f>
        <v>13480.49</v>
      </c>
      <c r="H520" s="71" t="n">
        <f aca="false">H26+H48+H70+H92+H114+H136+H158+H447</f>
        <v>-29486.46</v>
      </c>
      <c r="I520" s="71" t="n">
        <f aca="false">I26+I48+I70+I92+I114+I136+I158+I447</f>
        <v>16262.79</v>
      </c>
      <c r="J520" s="71" t="n">
        <f aca="false">J26+J48+J70+J92+J114+J136+J158+J447</f>
        <v>-5233.95999999999</v>
      </c>
      <c r="K520" s="71" t="n">
        <f aca="false">K26+K48+K70+K92+K114+K136+K158+K447</f>
        <v>-16944.64</v>
      </c>
      <c r="L520" s="71" t="n">
        <f aca="false">L26+L48+L70+L92+L114+L136+L158+L447</f>
        <v>54573.81</v>
      </c>
      <c r="M520" s="71" t="n">
        <f aca="false">M26+M48+M70+M92+M114+M136+M158+M447</f>
        <v>16962.4832730445</v>
      </c>
      <c r="N520" s="71" t="n">
        <f aca="false">N26+N48+N70+N92+N114+N136+N158+N447</f>
        <v>24790.9475879779</v>
      </c>
      <c r="O520" s="71" t="n">
        <f aca="false">O26+O48+O70+O92+O114+O136+O158+O447</f>
        <v>8673.19193790905</v>
      </c>
      <c r="P520" s="71" t="n">
        <f aca="false">P26+P48+P70+P92+P114+P136+P158+P447</f>
        <v>19000.8514238481</v>
      </c>
      <c r="Q520" s="71" t="n">
        <f aca="false">Q26+Q48+Q70+Q92+Q114+Q136+Q158+Q447</f>
        <v>-5379.8803845746</v>
      </c>
      <c r="R520" s="71" t="n">
        <f aca="false">R26+R48+R70+R92+R114+R136+R158+R447</f>
        <v>-14833.9429549395</v>
      </c>
      <c r="S520" s="71" t="n">
        <f aca="false">S26+S48+S70+S92+S114+S136+S158+S447</f>
        <v>15824.0364131956</v>
      </c>
      <c r="T520" s="71" t="n">
        <f aca="false">T26+T48+T70+T92+T114+T136+T158+T447</f>
        <v>5200.42723288393</v>
      </c>
      <c r="U520" s="71" t="n">
        <f aca="false">U26+U48+U70+U92+U114+U136+U158+U447</f>
        <v>1271.91411335039</v>
      </c>
      <c r="V520" s="71" t="n">
        <f aca="false">V26+V48+V70+V92+V114+V136+V158+V447</f>
        <v>32120.4070484223</v>
      </c>
      <c r="W520" s="71" t="n">
        <f aca="false">W26+W48+W70+W92+W114+W136+W158+W447</f>
        <v>13543.356512701</v>
      </c>
      <c r="X520" s="71" t="n">
        <f aca="false">X26+X48+X70+X92+X114+X136+X158+X447</f>
        <v>7988.52807695957</v>
      </c>
      <c r="Y520" s="71" t="n">
        <f aca="false">Y26+Y48+Y70+Y92+Y114+Y136+Y158+Y447</f>
        <v>25591.9664423501</v>
      </c>
      <c r="Z520" s="71" t="n">
        <f aca="false">Z26+Z48+Z70+Z92+Z114+Z136+Z158+Z447</f>
        <v>-1516.18673072522</v>
      </c>
      <c r="AA520" s="71" t="n">
        <f aca="false">AA26+AA48+AA70+AA92+AA114+AA136+AA158+AA447</f>
        <v>10580.1196154254</v>
      </c>
      <c r="AB520" s="71" t="n">
        <f aca="false">AB26+AB48+AB70+AB92+AB114+AB136+AB158+AB447</f>
        <v>19760.885480802</v>
      </c>
    </row>
    <row r="521" customFormat="false" ht="15" hidden="false" customHeight="false" outlineLevel="0" collapsed="false">
      <c r="A521" s="28" t="s">
        <v>782</v>
      </c>
      <c r="B521" s="58"/>
      <c r="C521" s="59" t="n">
        <f aca="false">SUM(E521:P521)</f>
        <v>0</v>
      </c>
      <c r="D521" s="59" t="n">
        <f aca="false">SUM(Q521:AB521)</f>
        <v>0</v>
      </c>
      <c r="E521" s="71" t="n">
        <f aca="false">0</f>
        <v>0</v>
      </c>
      <c r="F521" s="71" t="n">
        <f aca="false">0</f>
        <v>0</v>
      </c>
      <c r="G521" s="71" t="n">
        <f aca="false">0</f>
        <v>0</v>
      </c>
      <c r="H521" s="71" t="n">
        <f aca="false">0</f>
        <v>0</v>
      </c>
      <c r="I521" s="71" t="n">
        <f aca="false">0</f>
        <v>0</v>
      </c>
      <c r="J521" s="71" t="n">
        <f aca="false">0</f>
        <v>0</v>
      </c>
      <c r="K521" s="71" t="n">
        <f aca="false">0</f>
        <v>0</v>
      </c>
      <c r="L521" s="71" t="n">
        <f aca="false">0</f>
        <v>0</v>
      </c>
      <c r="M521" s="71" t="n">
        <f aca="false">0</f>
        <v>0</v>
      </c>
      <c r="N521" s="71" t="n">
        <f aca="false">0</f>
        <v>0</v>
      </c>
      <c r="O521" s="71" t="n">
        <f aca="false">0</f>
        <v>0</v>
      </c>
      <c r="P521" s="71" t="n">
        <f aca="false">0</f>
        <v>0</v>
      </c>
      <c r="Q521" s="71" t="n">
        <f aca="false">0</f>
        <v>0</v>
      </c>
      <c r="R521" s="71" t="n">
        <f aca="false">0</f>
        <v>0</v>
      </c>
      <c r="S521" s="71" t="n">
        <f aca="false">0</f>
        <v>0</v>
      </c>
      <c r="T521" s="71" t="n">
        <f aca="false">0</f>
        <v>0</v>
      </c>
      <c r="U521" s="71" t="n">
        <f aca="false">0</f>
        <v>0</v>
      </c>
      <c r="V521" s="71" t="n">
        <f aca="false">0</f>
        <v>0</v>
      </c>
      <c r="W521" s="71" t="n">
        <f aca="false">0</f>
        <v>0</v>
      </c>
      <c r="X521" s="71" t="n">
        <f aca="false">0</f>
        <v>0</v>
      </c>
      <c r="Y521" s="71" t="n">
        <f aca="false">0</f>
        <v>0</v>
      </c>
      <c r="Z521" s="71" t="n">
        <f aca="false">0</f>
        <v>0</v>
      </c>
      <c r="AA521" s="71" t="n">
        <f aca="false">0</f>
        <v>0</v>
      </c>
      <c r="AB521" s="71" t="n">
        <f aca="false">0</f>
        <v>0</v>
      </c>
    </row>
    <row r="522" customFormat="false" ht="15" hidden="false" customHeight="false" outlineLevel="0" collapsed="false">
      <c r="A522" s="28" t="s">
        <v>783</v>
      </c>
      <c r="B522" s="58"/>
      <c r="C522" s="59" t="n">
        <f aca="false">P522</f>
        <v>19000.8514238481</v>
      </c>
      <c r="D522" s="59" t="n">
        <f aca="false">AB522</f>
        <v>19760.885480802</v>
      </c>
      <c r="E522" s="71" t="n">
        <f aca="false">MAX(0,E26)+MAX(0,E48)+MAX(0,E70)+MAX(0,E92)+MAX(0,E114)+MAX(0,E136)+MAX(0,E158)+MAX(0,E447)</f>
        <v>25501.63</v>
      </c>
      <c r="F522" s="71" t="n">
        <f aca="false">MAX(0,F26)+MAX(0,F48)+MAX(0,F70)+MAX(0,F92)+MAX(0,F114)+MAX(0,F136)+MAX(0,F158)+MAX(0,F447)</f>
        <v>54614.9</v>
      </c>
      <c r="G522" s="71" t="n">
        <f aca="false">MAX(0,G26)+MAX(0,G48)+MAX(0,G70)+MAX(0,G92)+MAX(0,G114)+MAX(0,G136)+MAX(0,G158)+MAX(0,G447)</f>
        <v>49150.49</v>
      </c>
      <c r="H522" s="71" t="n">
        <f aca="false">MAX(0,H26)+MAX(0,H48)+MAX(0,H70)+MAX(0,H92)+MAX(0,H114)+MAX(0,H136)+MAX(0,H158)+MAX(0,H447)</f>
        <v>14873.54</v>
      </c>
      <c r="I522" s="71" t="n">
        <f aca="false">MAX(0,I26)+MAX(0,I48)+MAX(0,I70)+MAX(0,I92)+MAX(0,I114)+MAX(0,I136)+MAX(0,I158)+MAX(0,I447)</f>
        <v>31262.79</v>
      </c>
      <c r="J522" s="71" t="n">
        <f aca="false">MAX(0,J26)+MAX(0,J48)+MAX(0,J70)+MAX(0,J92)+MAX(0,J114)+MAX(0,J136)+MAX(0,J158)+MAX(0,J447)</f>
        <v>17728.04</v>
      </c>
      <c r="K522" s="71" t="n">
        <f aca="false">MAX(0,K26)+MAX(0,K48)+MAX(0,K70)+MAX(0,K92)+MAX(0,K114)+MAX(0,K136)+MAX(0,K158)+MAX(0,K447)</f>
        <v>32540.98</v>
      </c>
      <c r="L522" s="71" t="n">
        <f aca="false">MAX(0,L26)+MAX(0,L48)+MAX(0,L70)+MAX(0,L92)+MAX(0,L114)+MAX(0,L136)+MAX(0,L158)+MAX(0,L447)</f>
        <v>69573.81</v>
      </c>
      <c r="M522" s="71" t="n">
        <f aca="false">MAX(0,M26)+MAX(0,M48)+MAX(0,M70)+MAX(0,M92)+MAX(0,M114)+MAX(0,M136)+MAX(0,M158)+MAX(0,M447)</f>
        <v>21365.1684582297</v>
      </c>
      <c r="N522" s="71" t="n">
        <f aca="false">MAX(0,N26)+MAX(0,N48)+MAX(0,N70)+MAX(0,N92)+MAX(0,N114)+MAX(0,N136)+MAX(0,N158)+MAX(0,N447)</f>
        <v>54790.9475879779</v>
      </c>
      <c r="O522" s="71" t="n">
        <f aca="false">MAX(0,O26)+MAX(0,O48)+MAX(0,O70)+MAX(0,O92)+MAX(0,O114)+MAX(0,O136)+MAX(0,O158)+MAX(0,O447)</f>
        <v>23673.191937909</v>
      </c>
      <c r="P522" s="71" t="n">
        <f aca="false">MAX(0,P26)+MAX(0,P48)+MAX(0,P70)+MAX(0,P92)+MAX(0,P114)+MAX(0,P136)+MAX(0,P158)+MAX(0,P447)</f>
        <v>19000.8514238481</v>
      </c>
      <c r="Q522" s="71" t="n">
        <f aca="false">MAX(0,Q26)+MAX(0,Q48)+MAX(0,Q70)+MAX(0,Q92)+MAX(0,Q114)+MAX(0,Q136)+MAX(0,Q158)+MAX(0,Q447)</f>
        <v>24620.1196154254</v>
      </c>
      <c r="R522" s="71" t="n">
        <f aca="false">MAX(0,R26)+MAX(0,R48)+MAX(0,R70)+MAX(0,R92)+MAX(0,R114)+MAX(0,R136)+MAX(0,R158)+MAX(0,R447)</f>
        <v>23648.2727885007</v>
      </c>
      <c r="S522" s="71" t="n">
        <f aca="false">MAX(0,S26)+MAX(0,S48)+MAX(0,S70)+MAX(0,S92)+MAX(0,S114)+MAX(0,S136)+MAX(0,S158)+MAX(0,S447)</f>
        <v>25591.9664423501</v>
      </c>
      <c r="T522" s="71" t="n">
        <f aca="false">MAX(0,T26)+MAX(0,T48)+MAX(0,T70)+MAX(0,T92)+MAX(0,T114)+MAX(0,T136)+MAX(0,T158)+MAX(0,T447)</f>
        <v>33280.4272328839</v>
      </c>
      <c r="U522" s="71" t="n">
        <f aca="false">MAX(0,U26)+MAX(0,U48)+MAX(0,U70)+MAX(0,U92)+MAX(0,U114)+MAX(0,U136)+MAX(0,U158)+MAX(0,U447)</f>
        <v>24296.1706731172</v>
      </c>
      <c r="V522" s="71" t="n">
        <f aca="false">MAX(0,V26)+MAX(0,V48)+MAX(0,V70)+MAX(0,V92)+MAX(0,V114)+MAX(0,V136)+MAX(0,V158)+MAX(0,V447)</f>
        <v>32120.4070484223</v>
      </c>
      <c r="W522" s="71" t="n">
        <f aca="false">MAX(0,W26)+MAX(0,W48)+MAX(0,W70)+MAX(0,W92)+MAX(0,W114)+MAX(0,W136)+MAX(0,W158)+MAX(0,W447)</f>
        <v>41623.356512701</v>
      </c>
      <c r="X522" s="71" t="n">
        <f aca="false">MAX(0,X26)+MAX(0,X48)+MAX(0,X70)+MAX(0,X92)+MAX(0,X114)+MAX(0,X136)+MAX(0,X158)+MAX(0,X447)</f>
        <v>22028.5280769596</v>
      </c>
      <c r="Y522" s="71" t="n">
        <f aca="false">MAX(0,Y26)+MAX(0,Y48)+MAX(0,Y70)+MAX(0,Y92)+MAX(0,Y114)+MAX(0,Y136)+MAX(0,Y158)+MAX(0,Y447)</f>
        <v>25591.9664423501</v>
      </c>
      <c r="Z522" s="71" t="n">
        <f aca="false">MAX(0,Z26)+MAX(0,Z48)+MAX(0,Z70)+MAX(0,Z92)+MAX(0,Z114)+MAX(0,Z136)+MAX(0,Z158)+MAX(0,Z447)</f>
        <v>26563.8132692748</v>
      </c>
      <c r="AA522" s="71" t="n">
        <f aca="false">MAX(0,AA26)+MAX(0,AA48)+MAX(0,AA70)+MAX(0,AA92)+MAX(0,AA114)+MAX(0,AA136)+MAX(0,AA158)+MAX(0,AA447)</f>
        <v>24620.1196154254</v>
      </c>
      <c r="AB522" s="71" t="n">
        <f aca="false">MAX(0,AB26)+MAX(0,AB48)+MAX(0,AB70)+MAX(0,AB92)+MAX(0,AB114)+MAX(0,AB136)+MAX(0,AB158)+MAX(0,AB447)</f>
        <v>19760.885480802</v>
      </c>
    </row>
    <row r="523" customFormat="false" ht="15" hidden="false" customHeight="false" outlineLevel="0" collapsed="false">
      <c r="A523" s="28" t="s">
        <v>784</v>
      </c>
      <c r="B523" s="58"/>
      <c r="C523" s="59" t="n">
        <f aca="false">P523</f>
        <v>0</v>
      </c>
      <c r="D523" s="59" t="n">
        <f aca="false">AB523</f>
        <v>0</v>
      </c>
      <c r="E523" s="71" t="n">
        <f aca="false">MAX(0,-E26)+MAX(0,-E48)+MAX(0,-E70)+MAX(0,-E92)+MAX(0,-E114)+MAX(0,-E136)+MAX(0,-E158)+MAX(0,-E447)</f>
        <v>31209.6</v>
      </c>
      <c r="F523" s="71" t="n">
        <f aca="false">MAX(0,-F26)+MAX(0,-F48)+MAX(0,-F70)+MAX(0,-F92)+MAX(0,-F114)+MAX(0,-F136)+MAX(0,-F158)+MAX(0,-F447)</f>
        <v>15000</v>
      </c>
      <c r="G523" s="71" t="n">
        <f aca="false">MAX(0,-G26)+MAX(0,-G48)+MAX(0,-G70)+MAX(0,-G92)+MAX(0,-G114)+MAX(0,-G136)+MAX(0,-G158)+MAX(0,-G447)</f>
        <v>35670</v>
      </c>
      <c r="H523" s="71" t="n">
        <f aca="false">MAX(0,-H26)+MAX(0,-H48)+MAX(0,-H70)+MAX(0,-H92)+MAX(0,-H114)+MAX(0,-H136)+MAX(0,-H158)+MAX(0,-H447)</f>
        <v>44360</v>
      </c>
      <c r="I523" s="71" t="n">
        <f aca="false">MAX(0,-I26)+MAX(0,-I48)+MAX(0,-I70)+MAX(0,-I92)+MAX(0,-I114)+MAX(0,-I136)+MAX(0,-I158)+MAX(0,-I447)</f>
        <v>15000</v>
      </c>
      <c r="J523" s="71" t="n">
        <f aca="false">MAX(0,-J26)+MAX(0,-J48)+MAX(0,-J70)+MAX(0,-J92)+MAX(0,-J114)+MAX(0,-J136)+MAX(0,-J158)+MAX(0,-J447)</f>
        <v>22962</v>
      </c>
      <c r="K523" s="71" t="n">
        <f aca="false">MAX(0,-K26)+MAX(0,-K48)+MAX(0,-K70)+MAX(0,-K92)+MAX(0,-K114)+MAX(0,-K136)+MAX(0,-K158)+MAX(0,-K447)</f>
        <v>49485.62</v>
      </c>
      <c r="L523" s="71" t="n">
        <f aca="false">MAX(0,-L26)+MAX(0,-L48)+MAX(0,-L70)+MAX(0,-L92)+MAX(0,-L114)+MAX(0,-L136)+MAX(0,-L158)+MAX(0,-L447)</f>
        <v>15000</v>
      </c>
      <c r="M523" s="71" t="n">
        <f aca="false">MAX(0,-M26)+MAX(0,-M48)+MAX(0,-M70)+MAX(0,-M92)+MAX(0,-M114)+MAX(0,-M136)+MAX(0,-M158)+MAX(0,-M447)</f>
        <v>4402.68518518517</v>
      </c>
      <c r="N523" s="71" t="n">
        <f aca="false">MAX(0,-N26)+MAX(0,-N48)+MAX(0,-N70)+MAX(0,-N92)+MAX(0,-N114)+MAX(0,-N136)+MAX(0,-N158)+MAX(0,-N447)</f>
        <v>30000</v>
      </c>
      <c r="O523" s="71" t="n">
        <f aca="false">MAX(0,-O26)+MAX(0,-O48)+MAX(0,-O70)+MAX(0,-O92)+MAX(0,-O114)+MAX(0,-O136)+MAX(0,-O158)+MAX(0,-O447)</f>
        <v>15000</v>
      </c>
      <c r="P523" s="71" t="n">
        <f aca="false">MAX(0,-P26)+MAX(0,-P48)+MAX(0,-P70)+MAX(0,-P92)+MAX(0,-P114)+MAX(0,-P136)+MAX(0,-P158)+MAX(0,-P447)</f>
        <v>0</v>
      </c>
      <c r="Q523" s="71" t="n">
        <f aca="false">MAX(0,-Q26)+MAX(0,-Q48)+MAX(0,-Q70)+MAX(0,-Q92)+MAX(0,-Q114)+MAX(0,-Q136)+MAX(0,-Q158)+MAX(0,-Q447)</f>
        <v>30000</v>
      </c>
      <c r="R523" s="71" t="n">
        <f aca="false">MAX(0,-R26)+MAX(0,-R48)+MAX(0,-R70)+MAX(0,-R92)+MAX(0,-R114)+MAX(0,-R136)+MAX(0,-R158)+MAX(0,-R447)</f>
        <v>38482.2157434402</v>
      </c>
      <c r="S523" s="71" t="n">
        <f aca="false">MAX(0,-S26)+MAX(0,-S48)+MAX(0,-S70)+MAX(0,-S92)+MAX(0,-S114)+MAX(0,-S136)+MAX(0,-S158)+MAX(0,-S447)</f>
        <v>9767.93002915452</v>
      </c>
      <c r="T523" s="71" t="n">
        <f aca="false">MAX(0,-T26)+MAX(0,-T48)+MAX(0,-T70)+MAX(0,-T92)+MAX(0,-T114)+MAX(0,-T136)+MAX(0,-T158)+MAX(0,-T447)</f>
        <v>28080</v>
      </c>
      <c r="U523" s="71" t="n">
        <f aca="false">MAX(0,-U26)+MAX(0,-U48)+MAX(0,-U70)+MAX(0,-U92)+MAX(0,-U114)+MAX(0,-U136)+MAX(0,-U158)+MAX(0,-U447)</f>
        <v>23024.2565597668</v>
      </c>
      <c r="V523" s="71" t="n">
        <f aca="false">MAX(0,-V26)+MAX(0,-V48)+MAX(0,-V70)+MAX(0,-V92)+MAX(0,-V114)+MAX(0,-V136)+MAX(0,-V158)+MAX(0,-V447)</f>
        <v>0</v>
      </c>
      <c r="W523" s="71" t="n">
        <f aca="false">MAX(0,-W26)+MAX(0,-W48)+MAX(0,-W70)+MAX(0,-W92)+MAX(0,-W114)+MAX(0,-W136)+MAX(0,-W158)+MAX(0,-W447)</f>
        <v>28080</v>
      </c>
      <c r="X523" s="71" t="n">
        <f aca="false">MAX(0,-X26)+MAX(0,-X48)+MAX(0,-X70)+MAX(0,-X92)+MAX(0,-X114)+MAX(0,-X136)+MAX(0,-X158)+MAX(0,-X447)</f>
        <v>14040</v>
      </c>
      <c r="Y523" s="71" t="n">
        <f aca="false">MAX(0,-Y26)+MAX(0,-Y48)+MAX(0,-Y70)+MAX(0,-Y92)+MAX(0,-Y114)+MAX(0,-Y136)+MAX(0,-Y158)+MAX(0,-Y447)</f>
        <v>0</v>
      </c>
      <c r="Z523" s="71" t="n">
        <f aca="false">MAX(0,-Z26)+MAX(0,-Z48)+MAX(0,-Z70)+MAX(0,-Z92)+MAX(0,-Z114)+MAX(0,-Z136)+MAX(0,-Z158)+MAX(0,-Z447)</f>
        <v>28080</v>
      </c>
      <c r="AA523" s="71" t="n">
        <f aca="false">MAX(0,-AA26)+MAX(0,-AA48)+MAX(0,-AA70)+MAX(0,-AA92)+MAX(0,-AA114)+MAX(0,-AA136)+MAX(0,-AA158)+MAX(0,-AA447)</f>
        <v>14040</v>
      </c>
      <c r="AB523" s="71" t="n">
        <f aca="false">MAX(0,-AB26)+MAX(0,-AB48)+MAX(0,-AB70)+MAX(0,-AB92)+MAX(0,-AB114)+MAX(0,-AB136)+MAX(0,-AB158)+MAX(0,-AB447)</f>
        <v>0</v>
      </c>
    </row>
    <row r="524" customFormat="false" ht="15" hidden="false" customHeight="false" outlineLevel="0" collapsed="false">
      <c r="A524" s="28" t="s">
        <v>785</v>
      </c>
      <c r="B524" s="58" t="s">
        <v>757</v>
      </c>
      <c r="C524" s="59" t="n">
        <f aca="false">SUM(E524:P524)</f>
        <v>366000</v>
      </c>
      <c r="D524" s="59" t="n">
        <f aca="false">SUM(Q524:AB524)</f>
        <v>505800</v>
      </c>
      <c r="E524" s="71" t="n">
        <f aca="false">E163+E185+E207+E408</f>
        <v>11000</v>
      </c>
      <c r="F524" s="71" t="n">
        <f aca="false">F163+F185+F207+F408</f>
        <v>11000</v>
      </c>
      <c r="G524" s="71" t="n">
        <f aca="false">G163+G185+G207+G408</f>
        <v>11000</v>
      </c>
      <c r="H524" s="71" t="n">
        <f aca="false">H163+H185+H207+H408</f>
        <v>37000</v>
      </c>
      <c r="I524" s="71" t="n">
        <f aca="false">I163+I185+I207+I408</f>
        <v>37000</v>
      </c>
      <c r="J524" s="71" t="n">
        <f aca="false">J163+J185+J207+J408</f>
        <v>37000</v>
      </c>
      <c r="K524" s="71" t="n">
        <f aca="false">K163+K185+K207+K408</f>
        <v>37000</v>
      </c>
      <c r="L524" s="71" t="n">
        <f aca="false">L163+L185+L207+L408</f>
        <v>37000</v>
      </c>
      <c r="M524" s="71" t="n">
        <f aca="false">M163+M185+M207+M408</f>
        <v>37000</v>
      </c>
      <c r="N524" s="71" t="n">
        <f aca="false">N163+N185+N207+N408</f>
        <v>37000</v>
      </c>
      <c r="O524" s="71" t="n">
        <f aca="false">O163+O185+O207+O408</f>
        <v>37000</v>
      </c>
      <c r="P524" s="71" t="n">
        <f aca="false">P163+P185+P207+P408</f>
        <v>37000</v>
      </c>
      <c r="Q524" s="71" t="n">
        <f aca="false">Q163+Q185+Q207+Q408</f>
        <v>43750</v>
      </c>
      <c r="R524" s="71" t="n">
        <f aca="false">R163+R185+R207+R408</f>
        <v>43750</v>
      </c>
      <c r="S524" s="71" t="n">
        <f aca="false">S163+S185+S207+S408</f>
        <v>43750</v>
      </c>
      <c r="T524" s="71" t="n">
        <f aca="false">T163+T185+T207+T408</f>
        <v>42086</v>
      </c>
      <c r="U524" s="71" t="n">
        <f aca="false">U163+U185+U207+U408</f>
        <v>42086</v>
      </c>
      <c r="V524" s="71" t="n">
        <f aca="false">V163+V185+V207+V408</f>
        <v>42086</v>
      </c>
      <c r="W524" s="71" t="n">
        <f aca="false">W163+W185+W207+W408</f>
        <v>41382</v>
      </c>
      <c r="X524" s="71" t="n">
        <f aca="false">X163+X185+X207+X408</f>
        <v>41382</v>
      </c>
      <c r="Y524" s="71" t="n">
        <f aca="false">Y163+Y185+Y207+Y408</f>
        <v>41382</v>
      </c>
      <c r="Z524" s="71" t="n">
        <f aca="false">Z163+Z185+Z207+Z408</f>
        <v>41382</v>
      </c>
      <c r="AA524" s="71" t="n">
        <f aca="false">AA163+AA185+AA207+AA408</f>
        <v>41382</v>
      </c>
      <c r="AB524" s="71" t="n">
        <f aca="false">AB163+AB185+AB207+AB408</f>
        <v>41382</v>
      </c>
    </row>
    <row r="525" customFormat="false" ht="15" hidden="false" customHeight="false" outlineLevel="0" collapsed="false">
      <c r="A525" s="28" t="s">
        <v>786</v>
      </c>
      <c r="B525" s="58" t="s">
        <v>757</v>
      </c>
      <c r="C525" s="59" t="n">
        <f aca="false">SUM(E525:P525)</f>
        <v>367240.740740741</v>
      </c>
      <c r="D525" s="59" t="n">
        <f aca="false">SUM(Q525:AB525)</f>
        <v>59259.2592592593</v>
      </c>
      <c r="E525" s="71" t="n">
        <f aca="false">E164+E186+E208+E409</f>
        <v>0</v>
      </c>
      <c r="F525" s="71" t="n">
        <f aca="false">F164+F186+F208+F409</f>
        <v>6829.57</v>
      </c>
      <c r="G525" s="71" t="n">
        <f aca="false">G164+G186+G208+G409</f>
        <v>20917.82</v>
      </c>
      <c r="H525" s="71" t="n">
        <f aca="false">H164+H186+H208+H409</f>
        <v>28605.65</v>
      </c>
      <c r="I525" s="71" t="n">
        <f aca="false">I164+I186+I208+I409</f>
        <v>37086.92</v>
      </c>
      <c r="J525" s="71" t="n">
        <f aca="false">J164+J186+J208+J409</f>
        <v>36431.02</v>
      </c>
      <c r="K525" s="71" t="n">
        <f aca="false">K164+K186+K208+K409</f>
        <v>30522.26</v>
      </c>
      <c r="L525" s="71" t="n">
        <f aca="false">L164+L186+L208+L409</f>
        <v>30580.81</v>
      </c>
      <c r="M525" s="71" t="n">
        <f aca="false">M164+M186+M208+M409</f>
        <v>44622.1594694179</v>
      </c>
      <c r="N525" s="71" t="n">
        <f aca="false">N164+N186+N208+N409</f>
        <v>50903.7905305821</v>
      </c>
      <c r="O525" s="71" t="n">
        <f aca="false">O164+O186+O208+O409</f>
        <v>47175.9259259259</v>
      </c>
      <c r="P525" s="71" t="n">
        <f aca="false">P164+P186+P208+P409</f>
        <v>33564.8148148148</v>
      </c>
      <c r="Q525" s="71" t="n">
        <f aca="false">Q164+Q186+Q208+Q409</f>
        <v>19259.2592592593</v>
      </c>
      <c r="R525" s="71" t="n">
        <f aca="false">R164+R186+R208+R409</f>
        <v>19259.2592592593</v>
      </c>
      <c r="S525" s="71" t="n">
        <f aca="false">S164+S186+S208+S409</f>
        <v>14814.8148148148</v>
      </c>
      <c r="T525" s="71" t="n">
        <f aca="false">T164+T186+T208+T409</f>
        <v>5925.92592592594</v>
      </c>
      <c r="U525" s="71" t="n">
        <f aca="false">U164+U186+U208+U409</f>
        <v>0</v>
      </c>
      <c r="V525" s="71" t="n">
        <f aca="false">V164+V186+V208+V409</f>
        <v>0</v>
      </c>
      <c r="W525" s="71" t="n">
        <f aca="false">W164+W186+W208+W409</f>
        <v>0</v>
      </c>
      <c r="X525" s="71" t="n">
        <f aca="false">X164+X186+X208+X409</f>
        <v>0</v>
      </c>
      <c r="Y525" s="71" t="n">
        <f aca="false">Y164+Y186+Y208+Y409</f>
        <v>0</v>
      </c>
      <c r="Z525" s="71" t="n">
        <f aca="false">Z164+Z186+Z208+Z409</f>
        <v>0</v>
      </c>
      <c r="AA525" s="71" t="n">
        <f aca="false">AA164+AA186+AA208+AA409</f>
        <v>0</v>
      </c>
      <c r="AB525" s="71" t="n">
        <f aca="false">AB164+AB186+AB208+AB409</f>
        <v>0</v>
      </c>
    </row>
    <row r="526" customFormat="false" ht="15" hidden="false" customHeight="false" outlineLevel="0" collapsed="false">
      <c r="A526" s="28" t="s">
        <v>787</v>
      </c>
      <c r="B526" s="58" t="s">
        <v>757</v>
      </c>
      <c r="C526" s="59" t="n">
        <f aca="false">SUM(E526:P526)</f>
        <v>0</v>
      </c>
      <c r="D526" s="59" t="n">
        <f aca="false">SUM(Q526:AB526)</f>
        <v>0</v>
      </c>
      <c r="E526" s="71" t="n">
        <f aca="false">E165+E187+E209+E410</f>
        <v>0</v>
      </c>
      <c r="F526" s="71" t="n">
        <f aca="false">F165+F187+F209+F410</f>
        <v>0</v>
      </c>
      <c r="G526" s="71" t="n">
        <f aca="false">G165+G187+G209+G410</f>
        <v>0</v>
      </c>
      <c r="H526" s="71" t="n">
        <f aca="false">H165+H187+H209+H410</f>
        <v>0</v>
      </c>
      <c r="I526" s="71" t="n">
        <f aca="false">I165+I187+I209+I410</f>
        <v>0</v>
      </c>
      <c r="J526" s="71" t="n">
        <f aca="false">J165+J187+J209+J410</f>
        <v>0</v>
      </c>
      <c r="K526" s="71" t="n">
        <f aca="false">K165+K187+K209+K410</f>
        <v>0</v>
      </c>
      <c r="L526" s="71" t="n">
        <f aca="false">L165+L187+L209+L410</f>
        <v>0</v>
      </c>
      <c r="M526" s="71" t="n">
        <f aca="false">M165+M187+M209+M410</f>
        <v>0</v>
      </c>
      <c r="N526" s="71" t="n">
        <f aca="false">N165+N187+N209+N410</f>
        <v>0</v>
      </c>
      <c r="O526" s="71" t="n">
        <f aca="false">O165+O187+O209+O410</f>
        <v>0</v>
      </c>
      <c r="P526" s="71" t="n">
        <f aca="false">P165+P187+P209+P410</f>
        <v>0</v>
      </c>
      <c r="Q526" s="71" t="n">
        <f aca="false">Q165+Q187+Q209+Q410</f>
        <v>0</v>
      </c>
      <c r="R526" s="71" t="n">
        <f aca="false">R165+R187+R209+R410</f>
        <v>0</v>
      </c>
      <c r="S526" s="71" t="n">
        <f aca="false">S165+S187+S209+S410</f>
        <v>0</v>
      </c>
      <c r="T526" s="71" t="n">
        <f aca="false">T165+T187+T209+T410</f>
        <v>0</v>
      </c>
      <c r="U526" s="71" t="n">
        <f aca="false">U165+U187+U209+U410</f>
        <v>0</v>
      </c>
      <c r="V526" s="71" t="n">
        <f aca="false">V165+V187+V209+V410</f>
        <v>0</v>
      </c>
      <c r="W526" s="71" t="n">
        <f aca="false">W165+W187+W209+W410</f>
        <v>0</v>
      </c>
      <c r="X526" s="71" t="n">
        <f aca="false">X165+X187+X209+X410</f>
        <v>0</v>
      </c>
      <c r="Y526" s="71" t="n">
        <f aca="false">Y165+Y187+Y209+Y410</f>
        <v>0</v>
      </c>
      <c r="Z526" s="71" t="n">
        <f aca="false">Z165+Z187+Z209+Z410</f>
        <v>0</v>
      </c>
      <c r="AA526" s="71" t="n">
        <f aca="false">AA165+AA187+AA209+AA410</f>
        <v>0</v>
      </c>
      <c r="AB526" s="71" t="n">
        <f aca="false">AB165+AB187+AB209+AB410</f>
        <v>0</v>
      </c>
    </row>
    <row r="527" customFormat="false" ht="15" hidden="false" customHeight="false" outlineLevel="0" collapsed="false">
      <c r="A527" s="28" t="s">
        <v>788</v>
      </c>
      <c r="B527" s="58" t="s">
        <v>757</v>
      </c>
      <c r="C527" s="59" t="n">
        <f aca="false">SUM(E527:P527)</f>
        <v>97760.19</v>
      </c>
      <c r="D527" s="59" t="n">
        <f aca="false">SUM(Q527:AB527)</f>
        <v>92016</v>
      </c>
      <c r="E527" s="71" t="n">
        <f aca="false">E166+E188+E210+E411</f>
        <v>6089.74</v>
      </c>
      <c r="F527" s="71" t="n">
        <f aca="false">F166+F188+F210+F411</f>
        <v>6229.02</v>
      </c>
      <c r="G527" s="71" t="n">
        <f aca="false">G166+G188+G210+G411</f>
        <v>7471.54</v>
      </c>
      <c r="H527" s="71" t="n">
        <f aca="false">H166+H188+H210+H411</f>
        <v>7892.7</v>
      </c>
      <c r="I527" s="71" t="n">
        <f aca="false">I166+I188+I210+I411</f>
        <v>8439.94</v>
      </c>
      <c r="J527" s="71" t="n">
        <f aca="false">J166+J188+J210+J411</f>
        <v>7753.34</v>
      </c>
      <c r="K527" s="71" t="n">
        <f aca="false">K166+K188+K210+K411</f>
        <v>8095.02</v>
      </c>
      <c r="L527" s="71" t="n">
        <f aca="false">L166+L188+L210+L411</f>
        <v>8123.89</v>
      </c>
      <c r="M527" s="71" t="n">
        <f aca="false">M166+M188+M210+M411</f>
        <v>8100</v>
      </c>
      <c r="N527" s="71" t="n">
        <f aca="false">N166+N188+N210+N411</f>
        <v>8910</v>
      </c>
      <c r="O527" s="71" t="n">
        <f aca="false">O166+O188+O210+O411</f>
        <v>10935</v>
      </c>
      <c r="P527" s="71" t="n">
        <f aca="false">P166+P188+P210+P411</f>
        <v>9720</v>
      </c>
      <c r="Q527" s="71" t="n">
        <f aca="false">Q166+Q188+Q210+Q411</f>
        <v>6885</v>
      </c>
      <c r="R527" s="71" t="n">
        <f aca="false">R166+R188+R210+R411</f>
        <v>6885</v>
      </c>
      <c r="S527" s="71" t="n">
        <f aca="false">S166+S188+S210+S411</f>
        <v>7695</v>
      </c>
      <c r="T527" s="71" t="n">
        <f aca="false">T166+T188+T210+T411</f>
        <v>8100</v>
      </c>
      <c r="U527" s="71" t="n">
        <f aca="false">U166+U188+U210+U411</f>
        <v>8100</v>
      </c>
      <c r="V527" s="71" t="n">
        <f aca="false">V166+V188+V210+V411</f>
        <v>7695</v>
      </c>
      <c r="W527" s="71" t="n">
        <f aca="false">W166+W188+W210+W411</f>
        <v>6196.5</v>
      </c>
      <c r="X527" s="71" t="n">
        <f aca="false">X166+X188+X210+X411</f>
        <v>6561</v>
      </c>
      <c r="Y527" s="71" t="n">
        <f aca="false">Y166+Y188+Y210+Y411</f>
        <v>7290</v>
      </c>
      <c r="Z527" s="71" t="n">
        <f aca="false">Z166+Z188+Z210+Z411</f>
        <v>8019</v>
      </c>
      <c r="AA527" s="71" t="n">
        <f aca="false">AA166+AA188+AA210+AA411</f>
        <v>9841.5</v>
      </c>
      <c r="AB527" s="71" t="n">
        <f aca="false">AB166+AB188+AB210+AB411</f>
        <v>8748</v>
      </c>
    </row>
    <row r="528" customFormat="false" ht="15" hidden="false" customHeight="false" outlineLevel="0" collapsed="false">
      <c r="A528" s="28" t="s">
        <v>789</v>
      </c>
      <c r="B528" s="58" t="s">
        <v>757</v>
      </c>
      <c r="C528" s="59" t="n">
        <f aca="false">SUM(E528:P528)</f>
        <v>38962.56</v>
      </c>
      <c r="D528" s="59" t="n">
        <f aca="false">SUM(Q528:AB528)</f>
        <v>0</v>
      </c>
      <c r="E528" s="71" t="n">
        <f aca="false">E167+E189+E211+E412</f>
        <v>0</v>
      </c>
      <c r="F528" s="71" t="n">
        <f aca="false">F167+F189+F211+F412</f>
        <v>0</v>
      </c>
      <c r="G528" s="71" t="n">
        <f aca="false">G167+G189+G211+G412</f>
        <v>0</v>
      </c>
      <c r="H528" s="71" t="n">
        <f aca="false">H167+H189+H211+H412</f>
        <v>0</v>
      </c>
      <c r="I528" s="71" t="n">
        <f aca="false">I167+I189+I211+I412</f>
        <v>0</v>
      </c>
      <c r="J528" s="71" t="n">
        <f aca="false">J167+J189+J211+J412</f>
        <v>0</v>
      </c>
      <c r="K528" s="71" t="n">
        <f aca="false">K167+K189+K211+K412</f>
        <v>0</v>
      </c>
      <c r="L528" s="71" t="n">
        <f aca="false">L167+L189+L211+L412</f>
        <v>0</v>
      </c>
      <c r="M528" s="71" t="n">
        <f aca="false">M167+M189+M211+M412</f>
        <v>6087.9</v>
      </c>
      <c r="N528" s="71" t="n">
        <f aca="false">N167+N189+N211+N412</f>
        <v>13393.38</v>
      </c>
      <c r="O528" s="71" t="n">
        <f aca="false">O167+O189+O211+O412</f>
        <v>13393.38</v>
      </c>
      <c r="P528" s="71" t="n">
        <f aca="false">P167+P189+P211+P412</f>
        <v>6087.9</v>
      </c>
      <c r="Q528" s="71" t="n">
        <f aca="false">Q167+Q189+Q211+Q412</f>
        <v>0</v>
      </c>
      <c r="R528" s="71" t="n">
        <f aca="false">R167+R189+R211+R412</f>
        <v>0</v>
      </c>
      <c r="S528" s="71" t="n">
        <f aca="false">S167+S189+S211+S412</f>
        <v>0</v>
      </c>
      <c r="T528" s="71" t="n">
        <f aca="false">T167+T189+T211+T412</f>
        <v>0</v>
      </c>
      <c r="U528" s="71" t="n">
        <f aca="false">U167+U189+U211+U412</f>
        <v>0</v>
      </c>
      <c r="V528" s="71" t="n">
        <f aca="false">V167+V189+V211+V412</f>
        <v>0</v>
      </c>
      <c r="W528" s="71" t="n">
        <f aca="false">W167+W189+W211+W412</f>
        <v>0</v>
      </c>
      <c r="X528" s="71" t="n">
        <f aca="false">X167+X189+X211+X412</f>
        <v>0</v>
      </c>
      <c r="Y528" s="71" t="n">
        <f aca="false">Y167+Y189+Y211+Y412</f>
        <v>0</v>
      </c>
      <c r="Z528" s="71" t="n">
        <f aca="false">Z167+Z189+Z211+Z412</f>
        <v>0</v>
      </c>
      <c r="AA528" s="71" t="n">
        <f aca="false">AA167+AA189+AA211+AA412</f>
        <v>0</v>
      </c>
      <c r="AB528" s="71" t="n">
        <f aca="false">AB167+AB189+AB211+AB412</f>
        <v>0</v>
      </c>
    </row>
    <row r="529" customFormat="false" ht="15" hidden="false" customHeight="false" outlineLevel="0" collapsed="false">
      <c r="A529" s="28" t="s">
        <v>790</v>
      </c>
      <c r="B529" s="58" t="s">
        <v>757</v>
      </c>
      <c r="C529" s="59" t="n">
        <f aca="false">SUM(E529:P529)</f>
        <v>1086224.31</v>
      </c>
      <c r="D529" s="59" t="n">
        <f aca="false">SUM(Q529:AB529)</f>
        <v>1022400</v>
      </c>
      <c r="E529" s="71" t="n">
        <f aca="false">E174+E196+E218+E419</f>
        <v>67663.78</v>
      </c>
      <c r="F529" s="71" t="n">
        <f aca="false">F174+F196+F218+F419</f>
        <v>69211.3</v>
      </c>
      <c r="G529" s="71" t="n">
        <f aca="false">G174+G196+G218+G419</f>
        <v>83017.1</v>
      </c>
      <c r="H529" s="71" t="n">
        <f aca="false">H174+H196+H218+H419</f>
        <v>87696.66</v>
      </c>
      <c r="I529" s="71" t="n">
        <f aca="false">I174+I196+I218+I419</f>
        <v>93777.15</v>
      </c>
      <c r="J529" s="71" t="n">
        <f aca="false">J174+J196+J218+J419</f>
        <v>86148.17</v>
      </c>
      <c r="K529" s="71" t="n">
        <f aca="false">K174+K196+K218+K419</f>
        <v>89944.71</v>
      </c>
      <c r="L529" s="71" t="n">
        <f aca="false">L174+L196+L218+L419</f>
        <v>90265.44</v>
      </c>
      <c r="M529" s="71" t="n">
        <f aca="false">M174+M196+M218+M419</f>
        <v>90000</v>
      </c>
      <c r="N529" s="71" t="n">
        <f aca="false">N174+N196+N218+N419</f>
        <v>99000</v>
      </c>
      <c r="O529" s="71" t="n">
        <f aca="false">O174+O196+O218+O419</f>
        <v>121500</v>
      </c>
      <c r="P529" s="71" t="n">
        <f aca="false">P174+P196+P218+P419</f>
        <v>108000</v>
      </c>
      <c r="Q529" s="71" t="n">
        <f aca="false">Q174+Q196+Q218+Q419</f>
        <v>76500</v>
      </c>
      <c r="R529" s="71" t="n">
        <f aca="false">R174+R196+R218+R419</f>
        <v>76500</v>
      </c>
      <c r="S529" s="71" t="n">
        <f aca="false">S174+S196+S218+S419</f>
        <v>85500</v>
      </c>
      <c r="T529" s="71" t="n">
        <f aca="false">T174+T196+T218+T419</f>
        <v>90000</v>
      </c>
      <c r="U529" s="71" t="n">
        <f aca="false">U174+U196+U218+U419</f>
        <v>90000</v>
      </c>
      <c r="V529" s="71" t="n">
        <f aca="false">V174+V196+V218+V419</f>
        <v>85500</v>
      </c>
      <c r="W529" s="71" t="n">
        <f aca="false">W174+W196+W218+W419</f>
        <v>68850</v>
      </c>
      <c r="X529" s="71" t="n">
        <f aca="false">X174+X196+X218+X419</f>
        <v>72900</v>
      </c>
      <c r="Y529" s="71" t="n">
        <f aca="false">Y174+Y196+Y218+Y419</f>
        <v>81000</v>
      </c>
      <c r="Z529" s="71" t="n">
        <f aca="false">Z174+Z196+Z218+Z419</f>
        <v>89100</v>
      </c>
      <c r="AA529" s="71" t="n">
        <f aca="false">AA174+AA196+AA218+AA419</f>
        <v>109350</v>
      </c>
      <c r="AB529" s="71" t="n">
        <f aca="false">AB174+AB196+AB218+AB419</f>
        <v>97200</v>
      </c>
    </row>
    <row r="530" customFormat="false" ht="15" hidden="false" customHeight="false" outlineLevel="0" collapsed="false">
      <c r="A530" s="28" t="s">
        <v>791</v>
      </c>
      <c r="B530" s="58" t="s">
        <v>757</v>
      </c>
      <c r="C530" s="59" t="n">
        <f aca="false">SUM(E530:P530)</f>
        <v>0</v>
      </c>
      <c r="D530" s="59" t="n">
        <f aca="false">SUM(Q530:AB530)</f>
        <v>0</v>
      </c>
      <c r="E530" s="71" t="n">
        <f aca="false">E176+E198+E220+E421</f>
        <v>0</v>
      </c>
      <c r="F530" s="71" t="n">
        <f aca="false">F176+F198+F220+F421</f>
        <v>0</v>
      </c>
      <c r="G530" s="71" t="n">
        <f aca="false">G176+G198+G220+G421</f>
        <v>0</v>
      </c>
      <c r="H530" s="71" t="n">
        <f aca="false">H176+H198+H220+H421</f>
        <v>0</v>
      </c>
      <c r="I530" s="71" t="n">
        <f aca="false">I176+I198+I220+I421</f>
        <v>0</v>
      </c>
      <c r="J530" s="71" t="n">
        <f aca="false">J176+J198+J220+J421</f>
        <v>0</v>
      </c>
      <c r="K530" s="71" t="n">
        <f aca="false">K176+K198+K220+K421</f>
        <v>0</v>
      </c>
      <c r="L530" s="71" t="n">
        <f aca="false">L176+L198+L220+L421</f>
        <v>0</v>
      </c>
      <c r="M530" s="71" t="n">
        <f aca="false">M176+M198+M220+M421</f>
        <v>0</v>
      </c>
      <c r="N530" s="71" t="n">
        <f aca="false">N176+N198+N220+N421</f>
        <v>0</v>
      </c>
      <c r="O530" s="71" t="n">
        <f aca="false">O176+O198+O220+O421</f>
        <v>0</v>
      </c>
      <c r="P530" s="71" t="n">
        <f aca="false">P176+P198+P220+P421</f>
        <v>0</v>
      </c>
      <c r="Q530" s="71" t="n">
        <f aca="false">Q176+Q198+Q220+Q421</f>
        <v>0</v>
      </c>
      <c r="R530" s="71" t="n">
        <f aca="false">R176+R198+R220+R421</f>
        <v>0</v>
      </c>
      <c r="S530" s="71" t="n">
        <f aca="false">S176+S198+S220+S421</f>
        <v>0</v>
      </c>
      <c r="T530" s="71" t="n">
        <f aca="false">T176+T198+T220+T421</f>
        <v>0</v>
      </c>
      <c r="U530" s="71" t="n">
        <f aca="false">U176+U198+U220+U421</f>
        <v>0</v>
      </c>
      <c r="V530" s="71" t="n">
        <f aca="false">V176+V198+V220+V421</f>
        <v>0</v>
      </c>
      <c r="W530" s="71" t="n">
        <f aca="false">W176+W198+W220+W421</f>
        <v>0</v>
      </c>
      <c r="X530" s="71" t="n">
        <f aca="false">X176+X198+X220+X421</f>
        <v>0</v>
      </c>
      <c r="Y530" s="71" t="n">
        <f aca="false">Y176+Y198+Y220+Y421</f>
        <v>0</v>
      </c>
      <c r="Z530" s="71" t="n">
        <f aca="false">Z176+Z198+Z220+Z421</f>
        <v>0</v>
      </c>
      <c r="AA530" s="71" t="n">
        <f aca="false">AA176+AA198+AA220+AA421</f>
        <v>0</v>
      </c>
      <c r="AB530" s="71" t="n">
        <f aca="false">AB176+AB198+AB220+AB421</f>
        <v>0</v>
      </c>
    </row>
    <row r="531" customFormat="false" ht="15" hidden="false" customHeight="false" outlineLevel="0" collapsed="false">
      <c r="A531" s="28" t="s">
        <v>792</v>
      </c>
      <c r="B531" s="58" t="s">
        <v>757</v>
      </c>
      <c r="C531" s="59" t="n">
        <f aca="false">SUM(E531:P531)</f>
        <v>1959447.06</v>
      </c>
      <c r="D531" s="59" t="n">
        <f aca="false">SUM(Q531:AB531)</f>
        <v>1676216</v>
      </c>
      <c r="E531" s="71" t="n">
        <f aca="false">E177+E199+E221+E422</f>
        <v>84753.52</v>
      </c>
      <c r="F531" s="71" t="n">
        <f aca="false">F177+F199+F221+F422</f>
        <v>149440.32</v>
      </c>
      <c r="G531" s="71" t="n">
        <f aca="false">G177+G199+G221+G422</f>
        <v>101488.64</v>
      </c>
      <c r="H531" s="71" t="n">
        <f aca="false">H177+H199+H221+H422</f>
        <v>132589.36</v>
      </c>
      <c r="I531" s="71" t="n">
        <f aca="false">I177+I199+I221+I422</f>
        <v>155717.09</v>
      </c>
      <c r="J531" s="71" t="n">
        <f aca="false">J177+J199+J221+J422</f>
        <v>198401.51</v>
      </c>
      <c r="K531" s="71" t="n">
        <f aca="false">K177+K199+K221+K422</f>
        <v>135039.73</v>
      </c>
      <c r="L531" s="71" t="n">
        <f aca="false">L177+L199+L221+L422</f>
        <v>135389.33</v>
      </c>
      <c r="M531" s="71" t="n">
        <f aca="false">M177+M199+M221+M422</f>
        <v>188737.9</v>
      </c>
      <c r="N531" s="71" t="n">
        <f aca="false">N177+N199+N221+N422</f>
        <v>226253.38</v>
      </c>
      <c r="O531" s="71" t="n">
        <f aca="false">O177+O199+O221+O422</f>
        <v>254828.38</v>
      </c>
      <c r="P531" s="71" t="n">
        <f aca="false">P177+P199+P221+P422</f>
        <v>196807.9</v>
      </c>
      <c r="Q531" s="71" t="n">
        <f aca="false">Q177+Q199+Q221+Q422</f>
        <v>127135</v>
      </c>
      <c r="R531" s="71" t="n">
        <f aca="false">R177+R199+R221+R422</f>
        <v>159135</v>
      </c>
      <c r="S531" s="71" t="n">
        <f aca="false">S177+S199+S221+S422</f>
        <v>136945</v>
      </c>
      <c r="T531" s="71" t="n">
        <f aca="false">T177+T199+T221+T422</f>
        <v>164186</v>
      </c>
      <c r="U531" s="71" t="n">
        <f aca="false">U177+U199+U221+U422</f>
        <v>140186</v>
      </c>
      <c r="V531" s="71" t="n">
        <f aca="false">V177+V199+V221+V422</f>
        <v>135281</v>
      </c>
      <c r="W531" s="71" t="n">
        <f aca="false">W177+W199+W221+W422</f>
        <v>116428.5</v>
      </c>
      <c r="X531" s="71" t="n">
        <f aca="false">X177+X199+X221+X422</f>
        <v>120843</v>
      </c>
      <c r="Y531" s="71" t="n">
        <f aca="false">Y177+Y199+Y221+Y422</f>
        <v>129672</v>
      </c>
      <c r="Z531" s="71" t="n">
        <f aca="false">Z177+Z199+Z221+Z422</f>
        <v>138501</v>
      </c>
      <c r="AA531" s="71" t="n">
        <f aca="false">AA177+AA199+AA221+AA422</f>
        <v>160573.5</v>
      </c>
      <c r="AB531" s="71" t="n">
        <f aca="false">AB177+AB199+AB221+AB422</f>
        <v>147330</v>
      </c>
    </row>
    <row r="532" customFormat="false" ht="15" hidden="false" customHeight="false" outlineLevel="0" collapsed="false">
      <c r="A532" s="28" t="s">
        <v>793</v>
      </c>
      <c r="B532" s="58" t="s">
        <v>757</v>
      </c>
      <c r="C532" s="59" t="n">
        <f aca="false">SUM(E532:P532)</f>
        <v>1808929.72</v>
      </c>
      <c r="D532" s="59" t="n">
        <f aca="false">SUM(Q532:AB532)</f>
        <v>1779795.09</v>
      </c>
      <c r="E532" s="71" t="n">
        <f aca="false">E178+E200+E225+E423</f>
        <v>108093.63</v>
      </c>
      <c r="F532" s="71" t="n">
        <f aca="false">F178+F200+F225+F423</f>
        <v>145160.85</v>
      </c>
      <c r="G532" s="71" t="n">
        <f aca="false">G178+G200+G225+G423</f>
        <v>115678.7</v>
      </c>
      <c r="H532" s="71" t="n">
        <f aca="false">H178+H200+H225+H423</f>
        <v>125434.07</v>
      </c>
      <c r="I532" s="71" t="n">
        <f aca="false">I178+I200+I225+I423</f>
        <v>122846.47</v>
      </c>
      <c r="J532" s="71" t="n">
        <f aca="false">J178+J200+J225+J423</f>
        <v>97916.23</v>
      </c>
      <c r="K532" s="71" t="n">
        <f aca="false">K178+K200+K225+K423</f>
        <v>200010.4</v>
      </c>
      <c r="L532" s="71" t="n">
        <f aca="false">L178+L200+L225+L423</f>
        <v>151106.31</v>
      </c>
      <c r="M532" s="71" t="n">
        <f aca="false">M178+M200+M225+M423</f>
        <v>141355.76</v>
      </c>
      <c r="N532" s="71" t="n">
        <f aca="false">N178+N200+N225+N423</f>
        <v>162208.28</v>
      </c>
      <c r="O532" s="71" t="n">
        <f aca="false">O178+O200+O225+O423</f>
        <v>210840.64</v>
      </c>
      <c r="P532" s="71" t="n">
        <f aca="false">P178+P200+P225+P423</f>
        <v>228278.38</v>
      </c>
      <c r="Q532" s="71" t="n">
        <f aca="false">Q178+Q200+Q225+Q423</f>
        <v>233175.64</v>
      </c>
      <c r="R532" s="71" t="n">
        <f aca="false">R178+R200+R225+R423</f>
        <v>179138.95</v>
      </c>
      <c r="S532" s="71" t="n">
        <f aca="false">S178+S200+S225+S423</f>
        <v>143135</v>
      </c>
      <c r="T532" s="71" t="n">
        <f aca="false">T178+T200+T225+T423</f>
        <v>143135</v>
      </c>
      <c r="U532" s="71" t="n">
        <f aca="false">U178+U200+U225+U423</f>
        <v>148113</v>
      </c>
      <c r="V532" s="71" t="n">
        <f aca="false">V178+V200+V225+V423</f>
        <v>152186</v>
      </c>
      <c r="W532" s="71" t="n">
        <f aca="false">W178+W200+W225+W423</f>
        <v>140186</v>
      </c>
      <c r="X532" s="71" t="n">
        <f aca="false">X178+X200+X225+X423</f>
        <v>135281</v>
      </c>
      <c r="Y532" s="71" t="n">
        <f aca="false">Y178+Y200+Y225+Y423</f>
        <v>116428.5</v>
      </c>
      <c r="Z532" s="71" t="n">
        <f aca="false">Z178+Z200+Z225+Z423</f>
        <v>120843</v>
      </c>
      <c r="AA532" s="71" t="n">
        <f aca="false">AA178+AA200+AA225+AA423</f>
        <v>129672</v>
      </c>
      <c r="AB532" s="71" t="n">
        <f aca="false">AB178+AB200+AB225+AB423</f>
        <v>138501</v>
      </c>
    </row>
    <row r="533" customFormat="false" ht="15" hidden="false" customHeight="false" outlineLevel="0" collapsed="false">
      <c r="A533" s="28" t="s">
        <v>794</v>
      </c>
      <c r="B533" s="58" t="s">
        <v>757</v>
      </c>
      <c r="C533" s="59" t="n">
        <f aca="false">P533</f>
        <v>395939.59</v>
      </c>
      <c r="D533" s="59" t="n">
        <f aca="false">AB533</f>
        <v>292360.5</v>
      </c>
      <c r="E533" s="71" t="n">
        <f aca="false">E179+E201+E226+E424</f>
        <v>230332.14</v>
      </c>
      <c r="F533" s="71" t="n">
        <f aca="false">F179+F201+F226+F424</f>
        <v>234611.61</v>
      </c>
      <c r="G533" s="71" t="n">
        <f aca="false">G179+G201+G226+G424</f>
        <v>220421.55</v>
      </c>
      <c r="H533" s="71" t="n">
        <f aca="false">H179+H201+H226+H424</f>
        <v>227576.84</v>
      </c>
      <c r="I533" s="71" t="n">
        <f aca="false">I179+I201+I226+I424</f>
        <v>260447.46</v>
      </c>
      <c r="J533" s="71" t="n">
        <f aca="false">J179+J201+J226+J424</f>
        <v>360932.74</v>
      </c>
      <c r="K533" s="71" t="n">
        <f aca="false">K179+K201+K226+K424</f>
        <v>295962.07</v>
      </c>
      <c r="L533" s="71" t="n">
        <f aca="false">L179+L201+L226+L424</f>
        <v>280245.09</v>
      </c>
      <c r="M533" s="71" t="n">
        <f aca="false">M179+M201+M226+M424</f>
        <v>327627.23</v>
      </c>
      <c r="N533" s="71" t="n">
        <f aca="false">N179+N201+N226+N424</f>
        <v>391672.33</v>
      </c>
      <c r="O533" s="71" t="n">
        <f aca="false">O179+O201+O226+O424</f>
        <v>427410.07</v>
      </c>
      <c r="P533" s="71" t="n">
        <f aca="false">P179+P201+P226+P424</f>
        <v>395939.59</v>
      </c>
      <c r="Q533" s="71" t="n">
        <f aca="false">Q179+Q201+Q226+Q424</f>
        <v>289898.95</v>
      </c>
      <c r="R533" s="71" t="n">
        <f aca="false">R179+R201+R226+R424</f>
        <v>269895</v>
      </c>
      <c r="S533" s="71" t="n">
        <f aca="false">S179+S201+S226+S424</f>
        <v>263705</v>
      </c>
      <c r="T533" s="71" t="n">
        <f aca="false">T179+T201+T226+T424</f>
        <v>284756</v>
      </c>
      <c r="U533" s="71" t="n">
        <f aca="false">U179+U201+U226+U424</f>
        <v>276829</v>
      </c>
      <c r="V533" s="71" t="n">
        <f aca="false">V179+V201+V226+V424</f>
        <v>259924</v>
      </c>
      <c r="W533" s="71" t="n">
        <f aca="false">W179+W201+W226+W424</f>
        <v>236166.5</v>
      </c>
      <c r="X533" s="71" t="n">
        <f aca="false">X179+X201+X226+X424</f>
        <v>221728.5</v>
      </c>
      <c r="Y533" s="71" t="n">
        <f aca="false">Y179+Y201+Y226+Y424</f>
        <v>234972</v>
      </c>
      <c r="Z533" s="71" t="n">
        <f aca="false">Z179+Z201+Z226+Z424</f>
        <v>252630</v>
      </c>
      <c r="AA533" s="71" t="n">
        <f aca="false">AA179+AA201+AA226+AA424</f>
        <v>283531.5</v>
      </c>
      <c r="AB533" s="71" t="n">
        <f aca="false">AB179+AB201+AB226+AB424</f>
        <v>292360.5</v>
      </c>
    </row>
    <row r="534" customFormat="false" ht="15" hidden="false" customHeight="false" outlineLevel="0" collapsed="false">
      <c r="A534" s="28" t="s">
        <v>795</v>
      </c>
      <c r="B534" s="58" t="s">
        <v>757</v>
      </c>
      <c r="C534" s="59" t="n">
        <f aca="false">P534</f>
        <v>-3259.25925925926</v>
      </c>
      <c r="D534" s="59" t="n">
        <f aca="false">AB534</f>
        <v>0</v>
      </c>
      <c r="E534" s="71" t="n">
        <f aca="false">E180+E202+E227+E425</f>
        <v>0</v>
      </c>
      <c r="F534" s="71" t="n">
        <f aca="false">F180+F202+F227+F425</f>
        <v>-56170.43</v>
      </c>
      <c r="G534" s="71" t="n">
        <f aca="false">G180+G202+G227+G425</f>
        <v>-35252.61</v>
      </c>
      <c r="H534" s="71" t="n">
        <f aca="false">H180+H202+H227+H425</f>
        <v>-6646.96</v>
      </c>
      <c r="I534" s="71" t="n">
        <f aca="false">I180+I202+I227+I425</f>
        <v>13939.96</v>
      </c>
      <c r="J534" s="71" t="n">
        <f aca="false">J180+J202+J227+J425</f>
        <v>-17129.02</v>
      </c>
      <c r="K534" s="71" t="n">
        <f aca="false">K180+K202+K227+K425</f>
        <v>13393.24</v>
      </c>
      <c r="L534" s="71" t="n">
        <f aca="false">L180+L202+L227+L425</f>
        <v>43974.05</v>
      </c>
      <c r="M534" s="71" t="n">
        <f aca="false">M180+M202+M227+M425</f>
        <v>41046.2094694179</v>
      </c>
      <c r="N534" s="71" t="n">
        <f aca="false">N180+N202+N227+N425</f>
        <v>24000</v>
      </c>
      <c r="O534" s="71" t="n">
        <f aca="false">O180+O202+O227+O425</f>
        <v>-824.074074074073</v>
      </c>
      <c r="P534" s="71" t="n">
        <f aca="false">P180+P202+P227+P425</f>
        <v>-3259.25925925926</v>
      </c>
      <c r="Q534" s="71" t="n">
        <f aca="false">Q180+Q202+Q227+Q425</f>
        <v>16000</v>
      </c>
      <c r="R534" s="71" t="n">
        <f aca="false">R180+R202+R227+R425</f>
        <v>3259.25925925928</v>
      </c>
      <c r="S534" s="71" t="n">
        <f aca="false">S180+S202+S227+S425</f>
        <v>18074.0740740741</v>
      </c>
      <c r="T534" s="71" t="n">
        <f aca="false">T180+T202+T227+T425</f>
        <v>0</v>
      </c>
      <c r="U534" s="71" t="n">
        <f aca="false">U180+U202+U227+U425</f>
        <v>0</v>
      </c>
      <c r="V534" s="71" t="n">
        <f aca="false">V180+V202+V227+V425</f>
        <v>0</v>
      </c>
      <c r="W534" s="71" t="n">
        <f aca="false">W180+W202+W227+W425</f>
        <v>0</v>
      </c>
      <c r="X534" s="71" t="n">
        <f aca="false">X180+X202+X227+X425</f>
        <v>0</v>
      </c>
      <c r="Y534" s="71" t="n">
        <f aca="false">Y180+Y202+Y227+Y425</f>
        <v>0</v>
      </c>
      <c r="Z534" s="71" t="n">
        <f aca="false">Z180+Z202+Z227+Z425</f>
        <v>0</v>
      </c>
      <c r="AA534" s="71" t="n">
        <f aca="false">AA180+AA202+AA227+AA425</f>
        <v>0</v>
      </c>
      <c r="AB534" s="71" t="n">
        <f aca="false">AB180+AB202+AB227+AB425</f>
        <v>0</v>
      </c>
    </row>
    <row r="535" customFormat="false" ht="15" hidden="false" customHeight="false" outlineLevel="0" collapsed="false">
      <c r="A535" s="28" t="s">
        <v>796</v>
      </c>
      <c r="B535" s="58"/>
      <c r="C535" s="59" t="n">
        <f aca="false">SUM(E535:P535)</f>
        <v>8250</v>
      </c>
      <c r="D535" s="59" t="n">
        <f aca="false">SUM(Q535:AB535)</f>
        <v>0</v>
      </c>
      <c r="E535" s="71" t="n">
        <f aca="false">E224</f>
        <v>0</v>
      </c>
      <c r="F535" s="71" t="n">
        <f aca="false">F224</f>
        <v>0</v>
      </c>
      <c r="G535" s="71" t="n">
        <f aca="false">G224</f>
        <v>0</v>
      </c>
      <c r="H535" s="71" t="n">
        <f aca="false">H224</f>
        <v>0</v>
      </c>
      <c r="I535" s="71" t="n">
        <f aca="false">I224</f>
        <v>0</v>
      </c>
      <c r="J535" s="71" t="n">
        <f aca="false">J224</f>
        <v>0</v>
      </c>
      <c r="K535" s="71" t="n">
        <f aca="false">K224</f>
        <v>0</v>
      </c>
      <c r="L535" s="71" t="n">
        <f aca="false">L224</f>
        <v>0</v>
      </c>
      <c r="M535" s="71" t="n">
        <f aca="false">M224</f>
        <v>0</v>
      </c>
      <c r="N535" s="71" t="n">
        <f aca="false">N224</f>
        <v>0</v>
      </c>
      <c r="O535" s="71" t="n">
        <f aca="false">O224</f>
        <v>8250</v>
      </c>
      <c r="P535" s="71" t="n">
        <f aca="false">P224</f>
        <v>0</v>
      </c>
      <c r="Q535" s="71" t="n">
        <f aca="false">Q224</f>
        <v>0</v>
      </c>
      <c r="R535" s="71" t="n">
        <f aca="false">R224</f>
        <v>0</v>
      </c>
      <c r="S535" s="71" t="n">
        <f aca="false">S224</f>
        <v>0</v>
      </c>
      <c r="T535" s="71" t="n">
        <f aca="false">T224</f>
        <v>0</v>
      </c>
      <c r="U535" s="71" t="n">
        <f aca="false">U224</f>
        <v>0</v>
      </c>
      <c r="V535" s="71" t="n">
        <f aca="false">V224</f>
        <v>0</v>
      </c>
      <c r="W535" s="71" t="n">
        <f aca="false">W224</f>
        <v>0</v>
      </c>
      <c r="X535" s="71" t="n">
        <f aca="false">X224</f>
        <v>0</v>
      </c>
      <c r="Y535" s="71" t="n">
        <f aca="false">Y224</f>
        <v>0</v>
      </c>
      <c r="Z535" s="71" t="n">
        <f aca="false">Z224</f>
        <v>0</v>
      </c>
      <c r="AA535" s="71" t="n">
        <f aca="false">AA224</f>
        <v>0</v>
      </c>
      <c r="AB535" s="71" t="n">
        <f aca="false">AB224</f>
        <v>0</v>
      </c>
    </row>
    <row r="536" customFormat="false" ht="15" hidden="false" customHeight="false" outlineLevel="0" collapsed="false">
      <c r="A536" s="28" t="s">
        <v>797</v>
      </c>
      <c r="B536" s="58"/>
      <c r="C536" s="59" t="n">
        <f aca="false">P536</f>
        <v>0</v>
      </c>
      <c r="D536" s="59" t="n">
        <f aca="false">AB536</f>
        <v>0</v>
      </c>
      <c r="E536" s="71" t="n">
        <f aca="false">MAX(0,E180)+MAX(0,E202)+MAX(0,E227)+MAX(0,E425)</f>
        <v>0</v>
      </c>
      <c r="F536" s="71" t="n">
        <f aca="false">MAX(0,F180)+MAX(0,F202)+MAX(0,F227)+MAX(0,F425)</f>
        <v>0</v>
      </c>
      <c r="G536" s="71" t="n">
        <f aca="false">MAX(0,G180)+MAX(0,G202)+MAX(0,G227)+MAX(0,G425)</f>
        <v>0</v>
      </c>
      <c r="H536" s="71" t="n">
        <f aca="false">MAX(0,H180)+MAX(0,H202)+MAX(0,H227)+MAX(0,H425)</f>
        <v>0</v>
      </c>
      <c r="I536" s="71" t="n">
        <f aca="false">MAX(0,I180)+MAX(0,I202)+MAX(0,I227)+MAX(0,I425)</f>
        <v>13939.96</v>
      </c>
      <c r="J536" s="71" t="n">
        <f aca="false">MAX(0,J180)+MAX(0,J202)+MAX(0,J227)+MAX(0,J425)</f>
        <v>0</v>
      </c>
      <c r="K536" s="71" t="n">
        <f aca="false">MAX(0,K180)+MAX(0,K202)+MAX(0,K227)+MAX(0,K425)</f>
        <v>13393.24</v>
      </c>
      <c r="L536" s="71" t="n">
        <f aca="false">MAX(0,L180)+MAX(0,L202)+MAX(0,L227)+MAX(0,L425)</f>
        <v>43974.05</v>
      </c>
      <c r="M536" s="71" t="n">
        <f aca="false">MAX(0,M180)+MAX(0,M202)+MAX(0,M227)+MAX(0,M425)</f>
        <v>58296.2094694179</v>
      </c>
      <c r="N536" s="71" t="n">
        <f aca="false">MAX(0,N180)+MAX(0,N202)+MAX(0,N227)+MAX(0,N425)</f>
        <v>24000</v>
      </c>
      <c r="O536" s="71" t="n">
        <f aca="false">MAX(0,O180)+MAX(0,O202)+MAX(0,O227)+MAX(0,O425)</f>
        <v>17250</v>
      </c>
      <c r="P536" s="71" t="n">
        <f aca="false">MAX(0,P180)+MAX(0,P202)+MAX(0,P227)+MAX(0,P425)</f>
        <v>0</v>
      </c>
      <c r="Q536" s="71" t="n">
        <f aca="false">MAX(0,Q180)+MAX(0,Q202)+MAX(0,Q227)+MAX(0,Q425)</f>
        <v>16000</v>
      </c>
      <c r="R536" s="71" t="n">
        <f aca="false">MAX(0,R180)+MAX(0,R202)+MAX(0,R227)+MAX(0,R425)</f>
        <v>3259.25925925928</v>
      </c>
      <c r="S536" s="71" t="n">
        <f aca="false">MAX(0,S180)+MAX(0,S202)+MAX(0,S227)+MAX(0,S425)</f>
        <v>18074.0740740741</v>
      </c>
      <c r="T536" s="71" t="n">
        <f aca="false">MAX(0,T180)+MAX(0,T202)+MAX(0,T227)+MAX(0,T425)</f>
        <v>0</v>
      </c>
      <c r="U536" s="71" t="n">
        <f aca="false">MAX(0,U180)+MAX(0,U202)+MAX(0,U227)+MAX(0,U425)</f>
        <v>0</v>
      </c>
      <c r="V536" s="71" t="n">
        <f aca="false">MAX(0,V180)+MAX(0,V202)+MAX(0,V227)+MAX(0,V425)</f>
        <v>0</v>
      </c>
      <c r="W536" s="71" t="n">
        <f aca="false">MAX(0,W180)+MAX(0,W202)+MAX(0,W227)+MAX(0,W425)</f>
        <v>0</v>
      </c>
      <c r="X536" s="71" t="n">
        <f aca="false">MAX(0,X180)+MAX(0,X202)+MAX(0,X227)+MAX(0,X425)</f>
        <v>0</v>
      </c>
      <c r="Y536" s="71" t="n">
        <f aca="false">MAX(0,Y180)+MAX(0,Y202)+MAX(0,Y227)+MAX(0,Y425)</f>
        <v>0</v>
      </c>
      <c r="Z536" s="71" t="n">
        <f aca="false">MAX(0,Z180)+MAX(0,Z202)+MAX(0,Z227)+MAX(0,Z425)</f>
        <v>0</v>
      </c>
      <c r="AA536" s="71" t="n">
        <f aca="false">MAX(0,AA180)+MAX(0,AA202)+MAX(0,AA227)+MAX(0,AA425)</f>
        <v>0</v>
      </c>
      <c r="AB536" s="71" t="n">
        <f aca="false">MAX(0,AB180)+MAX(0,AB202)+MAX(0,AB227)+MAX(0,AB425)</f>
        <v>0</v>
      </c>
    </row>
    <row r="537" customFormat="false" ht="15" hidden="false" customHeight="false" outlineLevel="0" collapsed="false">
      <c r="A537" s="28" t="s">
        <v>798</v>
      </c>
      <c r="B537" s="58"/>
      <c r="C537" s="59" t="n">
        <f aca="false">P537</f>
        <v>3259.25925925926</v>
      </c>
      <c r="D537" s="59" t="n">
        <f aca="false">AB537</f>
        <v>-0</v>
      </c>
      <c r="E537" s="71" t="n">
        <f aca="false">MAX(0,-E180)+MAX(0,-E202)+MAX(0,-E227)+MAX(0,-E425)</f>
        <v>-0</v>
      </c>
      <c r="F537" s="71" t="n">
        <f aca="false">MAX(0,-F180)+MAX(0,-F202)+MAX(0,-F227)+MAX(0,-F425)</f>
        <v>56170.43</v>
      </c>
      <c r="G537" s="71" t="n">
        <f aca="false">MAX(0,-G180)+MAX(0,-G202)+MAX(0,-G227)+MAX(0,-G425)</f>
        <v>35252.61</v>
      </c>
      <c r="H537" s="71" t="n">
        <f aca="false">MAX(0,-H180)+MAX(0,-H202)+MAX(0,-H227)+MAX(0,-H425)</f>
        <v>6646.96</v>
      </c>
      <c r="I537" s="71" t="n">
        <f aca="false">MAX(0,-I180)+MAX(0,-I202)+MAX(0,-I227)+MAX(0,-I425)</f>
        <v>0</v>
      </c>
      <c r="J537" s="71" t="n">
        <f aca="false">MAX(0,-J180)+MAX(0,-J202)+MAX(0,-J227)+MAX(0,-J425)</f>
        <v>17129.02</v>
      </c>
      <c r="K537" s="71" t="n">
        <f aca="false">MAX(0,-K180)+MAX(0,-K202)+MAX(0,-K227)+MAX(0,-K425)</f>
        <v>0</v>
      </c>
      <c r="L537" s="71" t="n">
        <f aca="false">MAX(0,-L180)+MAX(0,-L202)+MAX(0,-L227)+MAX(0,-L425)</f>
        <v>0</v>
      </c>
      <c r="M537" s="71" t="n">
        <f aca="false">MAX(0,-M180)+MAX(0,-M202)+MAX(0,-M227)+MAX(0,-M425)</f>
        <v>17250</v>
      </c>
      <c r="N537" s="71" t="n">
        <f aca="false">MAX(0,-N180)+MAX(0,-N202)+MAX(0,-N227)+MAX(0,-N425)</f>
        <v>0</v>
      </c>
      <c r="O537" s="71" t="n">
        <f aca="false">MAX(0,-O180)+MAX(0,-O202)+MAX(0,-O227)+MAX(0,-O425)</f>
        <v>18074.0740740741</v>
      </c>
      <c r="P537" s="71" t="n">
        <f aca="false">MAX(0,-P180)+MAX(0,-P202)+MAX(0,-P227)+MAX(0,-P425)</f>
        <v>3259.25925925926</v>
      </c>
      <c r="Q537" s="71" t="n">
        <f aca="false">MAX(0,-Q180)+MAX(0,-Q202)+MAX(0,-Q227)+MAX(0,-Q425)</f>
        <v>0</v>
      </c>
      <c r="R537" s="71" t="n">
        <f aca="false">MAX(0,-R180)+MAX(0,-R202)+MAX(0,-R227)+MAX(0,-R425)</f>
        <v>0</v>
      </c>
      <c r="S537" s="71" t="n">
        <f aca="false">MAX(0,-S180)+MAX(0,-S202)+MAX(0,-S227)+MAX(0,-S425)</f>
        <v>0</v>
      </c>
      <c r="T537" s="71" t="n">
        <f aca="false">MAX(0,-T180)+MAX(0,-T202)+MAX(0,-T227)+MAX(0,-T425)</f>
        <v>-0</v>
      </c>
      <c r="U537" s="71" t="n">
        <f aca="false">MAX(0,-U180)+MAX(0,-U202)+MAX(0,-U227)+MAX(0,-U425)</f>
        <v>-0</v>
      </c>
      <c r="V537" s="71" t="n">
        <f aca="false">MAX(0,-V180)+MAX(0,-V202)+MAX(0,-V227)+MAX(0,-V425)</f>
        <v>-0</v>
      </c>
      <c r="W537" s="71" t="n">
        <f aca="false">MAX(0,-W180)+MAX(0,-W202)+MAX(0,-W227)+MAX(0,-W425)</f>
        <v>-0</v>
      </c>
      <c r="X537" s="71" t="n">
        <f aca="false">MAX(0,-X180)+MAX(0,-X202)+MAX(0,-X227)+MAX(0,-X425)</f>
        <v>-0</v>
      </c>
      <c r="Y537" s="71" t="n">
        <f aca="false">MAX(0,-Y180)+MAX(0,-Y202)+MAX(0,-Y227)+MAX(0,-Y425)</f>
        <v>-0</v>
      </c>
      <c r="Z537" s="71" t="n">
        <f aca="false">MAX(0,-Z180)+MAX(0,-Z202)+MAX(0,-Z227)+MAX(0,-Z425)</f>
        <v>-0</v>
      </c>
      <c r="AA537" s="71" t="n">
        <f aca="false">MAX(0,-AA180)+MAX(0,-AA202)+MAX(0,-AA227)+MAX(0,-AA425)</f>
        <v>-0</v>
      </c>
      <c r="AB537" s="71" t="n">
        <f aca="false">MAX(0,-AB180)+MAX(0,-AB202)+MAX(0,-AB227)+MAX(0,-AB425)</f>
        <v>-0</v>
      </c>
    </row>
    <row r="538" customFormat="false" ht="15" hidden="false" customHeight="false" outlineLevel="0" collapsed="false">
      <c r="A538" s="22" t="s">
        <v>799</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row>
    <row r="539" customFormat="false" ht="15" hidden="false" customHeight="false" outlineLevel="0" collapsed="false">
      <c r="A539" s="28" t="s">
        <v>800</v>
      </c>
      <c r="B539" s="58" t="s">
        <v>757</v>
      </c>
      <c r="C539" s="59" t="n">
        <f aca="false">SUM(E539:P539)</f>
        <v>3981675.92120047</v>
      </c>
      <c r="D539" s="59" t="n">
        <f aca="false">SUM(Q539:AB539)</f>
        <v>4189215.86774153</v>
      </c>
      <c r="E539" s="71" t="n">
        <f aca="false">E15+E37+E59+E81+E103+E125+E147+E169+E191+E213+E238+E260+E282+E304+E326+E348+E370+E392+E414+E436+E458+E480</f>
        <v>284790.937616928</v>
      </c>
      <c r="F539" s="71" t="n">
        <f aca="false">F15+F37+F59+F81+F103+F125+F147+F169+F191+F213+F238+F260+F282+F304+F326+F348+F370+F392+F414+F436+F458+F480</f>
        <v>263475.84349698</v>
      </c>
      <c r="G539" s="71" t="n">
        <f aca="false">G15+G37+G59+G81+G103+G125+G147+G169+G191+G213+G238+G260+G282+G304+G326+G348+G370+G392+G414+G436+G458+G480</f>
        <v>280968.708008925</v>
      </c>
      <c r="H539" s="71" t="n">
        <f aca="false">H15+H37+H59+H81+H103+H125+H147+H169+H191+H213+H238+H260+H282+H304+H326+H348+H370+H392+H414+H436+H458+H480</f>
        <v>305539.89893674</v>
      </c>
      <c r="I539" s="71" t="n">
        <f aca="false">I15+I37+I59+I81+I103+I125+I147+I169+I191+I213+I238+I260+I282+I304+I326+I348+I370+I392+I414+I436+I458+I480</f>
        <v>322408.500452097</v>
      </c>
      <c r="J539" s="71" t="n">
        <f aca="false">J15+J37+J59+J81+J103+J125+J147+J169+J191+J213+J238+J260+J282+J304+J326+J348+J370+J392+J414+J436+J458+J480</f>
        <v>356354.427403447</v>
      </c>
      <c r="K539" s="71" t="n">
        <f aca="false">K15+K37+K59+K81+K103+K125+K147+K169+K191+K213+K238+K260+K282+K304+K326+K348+K370+K392+K414+K436+K458+K480</f>
        <v>361734.525114018</v>
      </c>
      <c r="L539" s="71" t="n">
        <f aca="false">L15+L37+L59+L81+L103+L125+L147+L169+L191+L213+L238+L260+L282+L304+L326+L348+L370+L392+L414+L436+L458+L480</f>
        <v>382711.308778516</v>
      </c>
      <c r="M539" s="71" t="n">
        <f aca="false">M15+M37+M59+M81+M103+M125+M147+M169+M191+M213+M238+M260+M282+M304+M326+M348+M370+M392+M414+M436+M458+M480</f>
        <v>389253.973639711</v>
      </c>
      <c r="N539" s="71" t="n">
        <f aca="false">N15+N37+N59+N81+N103+N125+N147+N169+N191+N213+N238+N260+N282+N304+N326+N348+N370+N392+N414+N436+N458+N480</f>
        <v>375089.075354367</v>
      </c>
      <c r="O539" s="71" t="n">
        <f aca="false">O15+O37+O59+O81+O103+O125+O147+O169+O191+O213+O238+O260+O282+O304+O326+O348+O370+O392+O414+O436+O458+O480</f>
        <v>352981.025302025</v>
      </c>
      <c r="P539" s="71" t="n">
        <f aca="false">P15+P37+P59+P81+P103+P125+P147+P169+P191+P213+P238+P260+P282+P304+P326+P348+P370+P392+P414+P436+P458+P480</f>
        <v>306367.697096719</v>
      </c>
      <c r="Q539" s="71" t="n">
        <f aca="false">Q15+Q37+Q59+Q81+Q103+Q125+Q147+Q169+Q191+Q213+Q238+Q260+Q282+Q304+Q326+Q348+Q370+Q392+Q414+Q436+Q458+Q480</f>
        <v>309181.709399497</v>
      </c>
      <c r="R539" s="71" t="n">
        <f aca="false">R15+R37+R59+R81+R103+R125+R147+R169+R191+R213+R238+R260+R282+R304+R326+R348+R370+R392+R414+R436+R458+R480</f>
        <v>335204.058516579</v>
      </c>
      <c r="S539" s="71" t="n">
        <f aca="false">S15+S37+S59+S81+S103+S125+S147+S169+S191+S213+S238+S260+S282+S304+S326+S348+S370+S392+S414+S436+S458+S480</f>
        <v>362074.469470508</v>
      </c>
      <c r="T539" s="71" t="n">
        <f aca="false">T15+T37+T59+T81+T103+T125+T147+T169+T191+T213+T238+T260+T282+T304+T326+T348+T370+T392+T414+T436+T458+T480</f>
        <v>375776.388852244</v>
      </c>
      <c r="U539" s="71" t="n">
        <f aca="false">U15+U37+U59+U81+U103+U125+U147+U169+U191+U213+U238+U260+U282+U304+U326+U348+U370+U392+U414+U436+U458+U480</f>
        <v>374765.658677564</v>
      </c>
      <c r="V539" s="71" t="n">
        <f aca="false">V15+V37+V59+V81+V103+V125+V147+V169+V191+V213+V238+V260+V282+V304+V326+V348+V370+V392+V414+V436+V458+V480</f>
        <v>363092.708068696</v>
      </c>
      <c r="W539" s="71" t="n">
        <f aca="false">W15+W37+W59+W81+W103+W125+W147+W169+W191+W213+W238+W260+W282+W304+W326+W348+W370+W392+W414+W436+W458+W480</f>
        <v>353507.006151725</v>
      </c>
      <c r="X539" s="71" t="n">
        <f aca="false">X15+X37+X59+X81+X103+X125+X147+X169+X191+X213+X238+X260+X282+X304+X326+X348+X370+X392+X414+X436+X458+X480</f>
        <v>348107.070842298</v>
      </c>
      <c r="Y539" s="71" t="n">
        <f aca="false">Y15+Y37+Y59+Y81+Y103+Y125+Y147+Y169+Y191+Y213+Y238+Y260+Y282+Y304+Y326+Y348+Y370+Y392+Y414+Y436+Y458+Y480</f>
        <v>336724.456014287</v>
      </c>
      <c r="Z539" s="71" t="n">
        <f aca="false">Z15+Z37+Z59+Z81+Z103+Z125+Z147+Z169+Z191+Z213+Z238+Z260+Z282+Z304+Z326+Z348+Z370+Z392+Z414+Z436+Z458+Z480</f>
        <v>350703.15206873</v>
      </c>
      <c r="AA539" s="71" t="n">
        <f aca="false">AA15+AA37+AA59+AA81+AA103+AA125+AA147+AA169+AA191+AA213+AA238+AA260+AA282+AA304+AA326+AA348+AA370+AA392+AA414+AA436+AA458+AA480</f>
        <v>352071.613971338</v>
      </c>
      <c r="AB539" s="71" t="n">
        <f aca="false">AB15+AB37+AB59+AB81+AB103+AB125+AB147+AB169+AB191+AB213+AB238+AB260+AB282+AB304+AB326+AB348+AB370+AB392+AB414+AB436+AB458+AB480</f>
        <v>328007.575708065</v>
      </c>
    </row>
    <row r="540" customFormat="false" ht="15" hidden="false" customHeight="false" outlineLevel="0" collapsed="false">
      <c r="A540" s="28" t="s">
        <v>801</v>
      </c>
      <c r="B540" s="58" t="s">
        <v>757</v>
      </c>
      <c r="C540" s="59" t="n">
        <f aca="false">SUM(E540:P540)</f>
        <v>44000</v>
      </c>
      <c r="D540" s="59" t="n">
        <f aca="false">SUM(Q540:AB540)</f>
        <v>0</v>
      </c>
      <c r="E540" s="71" t="n">
        <f aca="false">E16+E38+E60+E82+E104+E126+E148+E170+E192+E214+E239+E261+E283+E305+E327+E349+E371+E393+E415+E437+E459+E481</f>
        <v>0</v>
      </c>
      <c r="F540" s="71" t="n">
        <f aca="false">F16+F38+F60+F82+F104+F126+F148+F170+F192+F214+F239+F261+F283+F305+F327+F349+F371+F393+F415+F437+F459+F481</f>
        <v>0</v>
      </c>
      <c r="G540" s="71" t="n">
        <f aca="false">G16+G38+G60+G82+G104+G126+G148+G170+G192+G214+G239+G261+G283+G305+G327+G349+G371+G393+G415+G437+G459+G481</f>
        <v>0</v>
      </c>
      <c r="H540" s="71" t="n">
        <f aca="false">H16+H38+H60+H82+H104+H126+H148+H170+H192+H214+H239+H261+H283+H305+H327+H349+H371+H393+H415+H437+H459+H481</f>
        <v>0</v>
      </c>
      <c r="I540" s="71" t="n">
        <f aca="false">I16+I38+I60+I82+I104+I126+I148+I170+I192+I214+I239+I261+I283+I305+I327+I349+I371+I393+I415+I437+I459+I481</f>
        <v>0</v>
      </c>
      <c r="J540" s="71" t="n">
        <f aca="false">J16+J38+J60+J82+J104+J126+J148+J170+J192+J214+J239+J261+J283+J305+J327+J349+J371+J393+J415+J437+J459+J481</f>
        <v>0</v>
      </c>
      <c r="K540" s="71" t="n">
        <f aca="false">K16+K38+K60+K82+K104+K126+K148+K170+K192+K214+K239+K261+K283+K305+K327+K349+K371+K393+K415+K437+K459+K481</f>
        <v>4200</v>
      </c>
      <c r="L540" s="71" t="n">
        <f aca="false">L16+L38+L60+L82+L104+L126+L148+L170+L192+L214+L239+L261+L283+L305+L327+L349+L371+L393+L415+L437+L459+L481</f>
        <v>5600</v>
      </c>
      <c r="M540" s="71" t="n">
        <f aca="false">M16+M38+M60+M82+M104+M126+M148+M170+M192+M214+M239+M261+M283+M305+M327+M349+M371+M393+M415+M437+M459+M481</f>
        <v>6709.72222222222</v>
      </c>
      <c r="N540" s="71" t="n">
        <f aca="false">N16+N38+N60+N82+N104+N126+N148+N170+N192+N214+N239+N261+N283+N305+N327+N349+N371+N393+N415+N437+N459+N481</f>
        <v>11868.0555555556</v>
      </c>
      <c r="O540" s="71" t="n">
        <f aca="false">O16+O38+O60+O82+O104+O126+O148+O170+O192+O214+O239+O261+O283+O305+O327+O349+O371+O393+O415+O437+O459+O481</f>
        <v>10934.7222222222</v>
      </c>
      <c r="P540" s="71" t="n">
        <f aca="false">P16+P38+P60+P82+P104+P126+P148+P170+P192+P214+P239+P261+P283+P305+P327+P349+P371+P393+P415+P437+P459+P481</f>
        <v>4687.5</v>
      </c>
      <c r="Q540" s="71" t="n">
        <f aca="false">Q16+Q38+Q60+Q82+Q104+Q126+Q148+Q170+Q192+Q214+Q239+Q261+Q283+Q305+Q327+Q349+Q371+Q393+Q415+Q437+Q459+Q481</f>
        <v>0</v>
      </c>
      <c r="R540" s="71" t="n">
        <f aca="false">R16+R38+R60+R82+R104+R126+R148+R170+R192+R214+R239+R261+R283+R305+R327+R349+R371+R393+R415+R437+R459+R481</f>
        <v>0</v>
      </c>
      <c r="S540" s="71" t="n">
        <f aca="false">S16+S38+S60+S82+S104+S126+S148+S170+S192+S214+S239+S261+S283+S305+S327+S349+S371+S393+S415+S437+S459+S481</f>
        <v>0</v>
      </c>
      <c r="T540" s="71" t="n">
        <f aca="false">T16+T38+T60+T82+T104+T126+T148+T170+T192+T214+T239+T261+T283+T305+T327+T349+T371+T393+T415+T437+T459+T481</f>
        <v>0</v>
      </c>
      <c r="U540" s="71" t="n">
        <f aca="false">U16+U38+U60+U82+U104+U126+U148+U170+U192+U214+U239+U261+U283+U305+U327+U349+U371+U393+U415+U437+U459+U481</f>
        <v>0</v>
      </c>
      <c r="V540" s="71" t="n">
        <f aca="false">V16+V38+V60+V82+V104+V126+V148+V170+V192+V214+V239+V261+V283+V305+V327+V349+V371+V393+V415+V437+V459+V481</f>
        <v>0</v>
      </c>
      <c r="W540" s="71" t="n">
        <f aca="false">W16+W38+W60+W82+W104+W126+W148+W170+W192+W214+W239+W261+W283+W305+W327+W349+W371+W393+W415+W437+W459+W481</f>
        <v>0</v>
      </c>
      <c r="X540" s="71" t="n">
        <f aca="false">X16+X38+X60+X82+X104+X126+X148+X170+X192+X214+X239+X261+X283+X305+X327+X349+X371+X393+X415+X437+X459+X481</f>
        <v>0</v>
      </c>
      <c r="Y540" s="71" t="n">
        <f aca="false">Y16+Y38+Y60+Y82+Y104+Y126+Y148+Y170+Y192+Y214+Y239+Y261+Y283+Y305+Y327+Y349+Y371+Y393+Y415+Y437+Y459+Y481</f>
        <v>0</v>
      </c>
      <c r="Z540" s="71" t="n">
        <f aca="false">Z16+Z38+Z60+Z82+Z104+Z126+Z148+Z170+Z192+Z214+Z239+Z261+Z283+Z305+Z327+Z349+Z371+Z393+Z415+Z437+Z459+Z481</f>
        <v>0</v>
      </c>
      <c r="AA540" s="71" t="n">
        <f aca="false">AA16+AA38+AA60+AA82+AA104+AA126+AA148+AA170+AA192+AA214+AA239+AA261+AA283+AA305+AA327+AA349+AA371+AA393+AA415+AA437+AA459+AA481</f>
        <v>0</v>
      </c>
      <c r="AB540" s="71" t="n">
        <f aca="false">AB16+AB38+AB60+AB82+AB104+AB126+AB148+AB170+AB192+AB214+AB239+AB261+AB283+AB305+AB327+AB349+AB371+AB393+AB415+AB437+AB459+AB481</f>
        <v>0</v>
      </c>
    </row>
    <row r="541" customFormat="false" ht="15" hidden="false" customHeight="false" outlineLevel="0" collapsed="false">
      <c r="A541" s="68" t="s">
        <v>298</v>
      </c>
      <c r="B541" s="69" t="s">
        <v>757</v>
      </c>
      <c r="C541" s="70" t="n">
        <f aca="false">SUM(E541:P541)</f>
        <v>3937675.92120047</v>
      </c>
      <c r="D541" s="70" t="n">
        <f aca="false">SUM(Q541:AB541)</f>
        <v>4189215.86774153</v>
      </c>
      <c r="E541" s="70" t="n">
        <f aca="false">E17+E39+E61+E83+E105+E127+E149+E171+E193+E215+E240+E262+E284+E306+E328+E350+E372+E394+E416+E438+E460+E482</f>
        <v>284790.937616928</v>
      </c>
      <c r="F541" s="70" t="n">
        <f aca="false">F17+F39+F61+F83+F105+F127+F149+F171+F193+F215+F240+F262+F284+F306+F328+F350+F372+F394+F416+F438+F460+F482</f>
        <v>263475.84349698</v>
      </c>
      <c r="G541" s="70" t="n">
        <f aca="false">G17+G39+G61+G83+G105+G127+G149+G171+G193+G215+G240+G262+G284+G306+G328+G350+G372+G394+G416+G438+G460+G482</f>
        <v>280968.708008925</v>
      </c>
      <c r="H541" s="70" t="n">
        <f aca="false">H17+H39+H61+H83+H105+H127+H149+H171+H193+H215+H240+H262+H284+H306+H328+H350+H372+H394+H416+H438+H460+H482</f>
        <v>305539.89893674</v>
      </c>
      <c r="I541" s="70" t="n">
        <f aca="false">I17+I39+I61+I83+I105+I127+I149+I171+I193+I215+I240+I262+I284+I306+I328+I350+I372+I394+I416+I438+I460+I482</f>
        <v>322408.500452097</v>
      </c>
      <c r="J541" s="70" t="n">
        <f aca="false">J17+J39+J61+J83+J105+J127+J149+J171+J193+J215+J240+J262+J284+J306+J328+J350+J372+J394+J416+J438+J460+J482</f>
        <v>356354.427403447</v>
      </c>
      <c r="K541" s="70" t="n">
        <f aca="false">K17+K39+K61+K83+K105+K127+K149+K171+K193+K215+K240+K262+K284+K306+K328+K350+K372+K394+K416+K438+K460+K482</f>
        <v>357534.525114018</v>
      </c>
      <c r="L541" s="70" t="n">
        <f aca="false">L17+L39+L61+L83+L105+L127+L149+L171+L193+L215+L240+L262+L284+L306+L328+L350+L372+L394+L416+L438+L460+L482</f>
        <v>377111.308778516</v>
      </c>
      <c r="M541" s="70" t="n">
        <f aca="false">M17+M39+M61+M83+M105+M127+M149+M171+M193+M215+M240+M262+M284+M306+M328+M350+M372+M394+M416+M438+M460+M482</f>
        <v>382544.251417489</v>
      </c>
      <c r="N541" s="70" t="n">
        <f aca="false">N17+N39+N61+N83+N105+N127+N149+N171+N193+N215+N240+N262+N284+N306+N328+N350+N372+N394+N416+N438+N460+N482</f>
        <v>363221.019798811</v>
      </c>
      <c r="O541" s="70" t="n">
        <f aca="false">O17+O39+O61+O83+O105+O127+O149+O171+O193+O215+O240+O262+O284+O306+O328+O350+O372+O394+O416+O438+O460+O482</f>
        <v>342046.303079802</v>
      </c>
      <c r="P541" s="70" t="n">
        <f aca="false">P17+P39+P61+P83+P105+P127+P149+P171+P193+P215+P240+P262+P284+P306+P328+P350+P372+P394+P416+P438+P460+P482</f>
        <v>301680.197096719</v>
      </c>
      <c r="Q541" s="70" t="n">
        <f aca="false">Q17+Q39+Q61+Q83+Q105+Q127+Q149+Q171+Q193+Q215+Q240+Q262+Q284+Q306+Q328+Q350+Q372+Q394+Q416+Q438+Q460+Q482</f>
        <v>309181.709399497</v>
      </c>
      <c r="R541" s="70" t="n">
        <f aca="false">R17+R39+R61+R83+R105+R127+R149+R171+R193+R215+R240+R262+R284+R306+R328+R350+R372+R394+R416+R438+R460+R482</f>
        <v>335204.058516579</v>
      </c>
      <c r="S541" s="70" t="n">
        <f aca="false">S17+S39+S61+S83+S105+S127+S149+S171+S193+S215+S240+S262+S284+S306+S328+S350+S372+S394+S416+S438+S460+S482</f>
        <v>362074.469470508</v>
      </c>
      <c r="T541" s="70" t="n">
        <f aca="false">T17+T39+T61+T83+T105+T127+T149+T171+T193+T215+T240+T262+T284+T306+T328+T350+T372+T394+T416+T438+T460+T482</f>
        <v>375776.388852244</v>
      </c>
      <c r="U541" s="70" t="n">
        <f aca="false">U17+U39+U61+U83+U105+U127+U149+U171+U193+U215+U240+U262+U284+U306+U328+U350+U372+U394+U416+U438+U460+U482</f>
        <v>374765.658677564</v>
      </c>
      <c r="V541" s="70" t="n">
        <f aca="false">V17+V39+V61+V83+V105+V127+V149+V171+V193+V215+V240+V262+V284+V306+V328+V350+V372+V394+V416+V438+V460+V482</f>
        <v>363092.708068696</v>
      </c>
      <c r="W541" s="70" t="n">
        <f aca="false">W17+W39+W61+W83+W105+W127+W149+W171+W193+W215+W240+W262+W284+W306+W328+W350+W372+W394+W416+W438+W460+W482</f>
        <v>353507.006151725</v>
      </c>
      <c r="X541" s="70" t="n">
        <f aca="false">X17+X39+X61+X83+X105+X127+X149+X171+X193+X215+X240+X262+X284+X306+X328+X350+X372+X394+X416+X438+X460+X482</f>
        <v>348107.070842298</v>
      </c>
      <c r="Y541" s="70" t="n">
        <f aca="false">Y17+Y39+Y61+Y83+Y105+Y127+Y149+Y171+Y193+Y215+Y240+Y262+Y284+Y306+Y328+Y350+Y372+Y394+Y416+Y438+Y460+Y482</f>
        <v>336724.456014287</v>
      </c>
      <c r="Z541" s="70" t="n">
        <f aca="false">Z17+Z39+Z61+Z83+Z105+Z127+Z149+Z171+Z193+Z215+Z240+Z262+Z284+Z306+Z328+Z350+Z372+Z394+Z416+Z438+Z460+Z482</f>
        <v>350703.15206873</v>
      </c>
      <c r="AA541" s="70" t="n">
        <f aca="false">AA17+AA39+AA61+AA83+AA105+AA127+AA149+AA171+AA193+AA215+AA240+AA262+AA284+AA306+AA328+AA350+AA372+AA394+AA416+AA438+AA460+AA482</f>
        <v>352071.613971338</v>
      </c>
      <c r="AB541" s="70" t="n">
        <f aca="false">AB17+AB39+AB61+AB83+AB105+AB127+AB149+AB171+AB193+AB215+AB240+AB262+AB284+AB306+AB328+AB350+AB372+AB394+AB416+AB438+AB460+AB482</f>
        <v>328007.575708065</v>
      </c>
    </row>
    <row r="542" customFormat="false" ht="15" hidden="false" customHeight="false" outlineLevel="0" collapsed="false">
      <c r="A542" s="28" t="s">
        <v>802</v>
      </c>
      <c r="B542" s="58" t="s">
        <v>757</v>
      </c>
      <c r="C542" s="66" t="n">
        <f aca="false">SUM(E542:P542)</f>
        <v>42384.8581336466</v>
      </c>
      <c r="D542" s="66" t="n">
        <f aca="false">SUM(Q542:AB542)</f>
        <v>42620.5396055556</v>
      </c>
      <c r="E542" s="72" t="n">
        <f aca="false">E18+E40+E62+E84+E106+E128+E150+E172+E194+E216+E241+E263+E285+E307+E329+E351+E373+E395+E417+E439+E461+E483</f>
        <v>3133.3</v>
      </c>
      <c r="F542" s="72" t="n">
        <f aca="false">F18+F40+F62+F84+F106+F128+F150+F172+F194+F216+F241+F263+F285+F307+F329+F351+F373+F395+F417+F439+F461+F483</f>
        <v>2928.7</v>
      </c>
      <c r="G542" s="72" t="n">
        <f aca="false">G18+G40+G62+G84+G106+G128+G150+G172+G194+G216+G241+G263+G285+G307+G329+G351+G373+G395+G417+G439+G461+G483</f>
        <v>3104.4</v>
      </c>
      <c r="H542" s="72" t="n">
        <f aca="false">H18+H40+H62+H84+H106+H128+H150+H172+H194+H216+H241+H263+H285+H307+H329+H351+H373+H395+H417+H439+H461+H483</f>
        <v>3337.6</v>
      </c>
      <c r="I542" s="72" t="n">
        <f aca="false">I18+I40+I62+I84+I106+I128+I150+I172+I194+I216+I241+I263+I285+I307+I329+I351+I373+I395+I417+I439+I461+I483</f>
        <v>3567.8</v>
      </c>
      <c r="J542" s="72" t="n">
        <f aca="false">J18+J40+J62+J84+J106+J128+J150+J172+J194+J216+J241+J263+J285+J307+J329+J351+J373+J395+J417+J439+J461+J483</f>
        <v>3958.1</v>
      </c>
      <c r="K542" s="72" t="n">
        <f aca="false">K18+K40+K62+K84+K106+K128+K150+K172+K194+K216+K241+K263+K285+K307+K329+K351+K373+K395+K417+K439+K461+K483</f>
        <v>3969.1</v>
      </c>
      <c r="L542" s="72" t="n">
        <f aca="false">L18+L40+L62+L84+L106+L128+L150+L172+L194+L216+L241+L263+L285+L307+L329+L351+L373+L395+L417+L439+L461+L483</f>
        <v>4109.4</v>
      </c>
      <c r="M542" s="72" t="n">
        <f aca="false">M18+M40+M62+M84+M106+M128+M150+M172+M194+M216+M241+M263+M285+M307+M329+M351+M373+M395+M417+M439+M461+M483</f>
        <v>4015.92167507895</v>
      </c>
      <c r="N542" s="72" t="n">
        <f aca="false">N18+N40+N62+N84+N106+N128+N150+N172+N194+N216+N241+N263+N285+N307+N329+N351+N373+N395+N417+N439+N461+N483</f>
        <v>3710.02298488568</v>
      </c>
      <c r="O542" s="72" t="n">
        <f aca="false">O18+O40+O62+O84+O106+O128+O150+O172+O194+O216+O241+O263+O285+O307+O329+O351+O373+O395+O417+O439+O461+O483</f>
        <v>3436.05796377275</v>
      </c>
      <c r="P542" s="72" t="n">
        <f aca="false">P18+P40+P62+P84+P106+P128+P150+P172+P194+P216+P241+P263+P285+P307+P329+P351+P373+P395+P417+P439+P461+P483</f>
        <v>3114.45550990922</v>
      </c>
      <c r="Q542" s="72" t="n">
        <f aca="false">Q18+Q40+Q62+Q84+Q106+Q128+Q150+Q172+Q194+Q216+Q241+Q263+Q285+Q307+Q329+Q351+Q373+Q395+Q417+Q439+Q461+Q483</f>
        <v>3246.27046145793</v>
      </c>
      <c r="R542" s="72" t="n">
        <f aca="false">R18+R40+R62+R84+R106+R128+R150+R172+R194+R216+R241+R263+R285+R307+R329+R351+R373+R395+R417+R439+R461+R483</f>
        <v>3481.89086610689</v>
      </c>
      <c r="S542" s="72" t="n">
        <f aca="false">S18+S40+S62+S84+S106+S128+S150+S172+S194+S216+S241+S263+S285+S307+S329+S351+S373+S395+S417+S439+S461+S483</f>
        <v>3701.97682921477</v>
      </c>
      <c r="T542" s="72" t="n">
        <f aca="false">T18+T40+T62+T84+T106+T128+T150+T172+T194+T216+T241+T263+T285+T307+T329+T351+T373+T395+T417+T439+T461+T483</f>
        <v>3797.64488940592</v>
      </c>
      <c r="U542" s="72" t="n">
        <f aca="false">U18+U40+U62+U84+U106+U128+U150+U172+U194+U216+U241+U263+U285+U307+U329+U351+U373+U395+U417+U439+U461+U483</f>
        <v>3779.5715171999</v>
      </c>
      <c r="V542" s="72" t="n">
        <f aca="false">V18+V40+V62+V84+V106+V128+V150+V172+V194+V216+V241+V263+V285+V307+V329+V351+V373+V395+V417+V439+V461+V483</f>
        <v>3672.28033378644</v>
      </c>
      <c r="W542" s="72" t="n">
        <f aca="false">W18+W40+W62+W84+W106+W128+W150+W172+W194+W216+W241+W263+W285+W307+W329+W351+W373+W395+W417+W439+W461+W483</f>
        <v>3593.88713545118</v>
      </c>
      <c r="X542" s="72" t="n">
        <f aca="false">X18+X40+X62+X84+X106+X128+X150+X172+X194+X216+X241+X263+X285+X307+X329+X351+X373+X395+X417+X439+X461+X483</f>
        <v>3551.83966327584</v>
      </c>
      <c r="Y542" s="72" t="n">
        <f aca="false">Y18+Y40+Y62+Y84+Y106+Y128+Y150+Y172+Y194+Y216+Y241+Y263+Y285+Y307+Y329+Y351+Y373+Y395+Y417+Y439+Y461+Y483</f>
        <v>3437.30942537879</v>
      </c>
      <c r="Z542" s="72" t="n">
        <f aca="false">Z18+Z40+Z62+Z84+Z106+Z128+Z150+Z172+Z194+Z216+Z241+Z263+Z285+Z307+Z329+Z351+Z373+Z395+Z417+Z439+Z461+Z483</f>
        <v>3550.0137448552</v>
      </c>
      <c r="AA542" s="72" t="n">
        <f aca="false">AA18+AA40+AA62+AA84+AA106+AA128+AA150+AA172+AA194+AA216+AA241+AA263+AA285+AA307+AA329+AA351+AA373+AA395+AA417+AA439+AA461+AA483</f>
        <v>3509.41535590238</v>
      </c>
      <c r="AB542" s="72" t="n">
        <f aca="false">AB18+AB40+AB62+AB84+AB106+AB128+AB150+AB172+AB194+AB216+AB241+AB263+AB285+AB307+AB329+AB351+AB373+AB395+AB417+AB439+AB461+AB483</f>
        <v>3298.43938352033</v>
      </c>
    </row>
    <row r="543" customFormat="false" ht="15" hidden="false" customHeight="false" outlineLevel="0" collapsed="false">
      <c r="A543" s="28" t="s">
        <v>651</v>
      </c>
      <c r="B543" s="58" t="s">
        <v>757</v>
      </c>
      <c r="C543" s="59" t="n">
        <f aca="false">SUM(E543:P543)</f>
        <v>2160797.10176068</v>
      </c>
      <c r="D543" s="59" t="n">
        <f aca="false">SUM(Q543:AB543)</f>
        <v>2278720.75802356</v>
      </c>
      <c r="E543" s="71" t="n">
        <f aca="false">E19+E41+E63+E85+E107+E129+E151+E173+E195+E217+E242+E264+E286+E308+E330+E352+E374+E396+E418+E440+E462+E484</f>
        <v>158774.948486997</v>
      </c>
      <c r="F543" s="71" t="n">
        <f aca="false">F19+F41+F63+F85+F107+F129+F151+F173+F195+F217+F242+F264+F286+F308+F330+F352+F374+F396+F418+F440+F462+F484</f>
        <v>148020.74192313</v>
      </c>
      <c r="G543" s="71" t="n">
        <f aca="false">G19+G41+G63+G85+G107+G129+G151+G173+G195+G217+G242+G264+G286+G308+G330+G352+G374+G396+G418+G440+G462+G484</f>
        <v>157477.980897583</v>
      </c>
      <c r="H543" s="71" t="n">
        <f aca="false">H19+H41+H63+H85+H107+H129+H151+H173+H195+H217+H242+H264+H286+H308+H330+H352+H374+H396+H418+H440+H462+H484</f>
        <v>170137.712556042</v>
      </c>
      <c r="I543" s="71" t="n">
        <f aca="false">I19+I41+I63+I85+I107+I129+I151+I173+I195+I217+I242+I264+I286+I308+I330+I352+I374+I396+I418+I440+I462+I484</f>
        <v>182237.423005754</v>
      </c>
      <c r="J543" s="71" t="n">
        <f aca="false">J19+J41+J63+J85+J107+J129+J151+J173+J195+J217+J242+J264+J286+J308+J330+J352+J374+J396+J418+J440+J462+J484</f>
        <v>202000.1541542</v>
      </c>
      <c r="K543" s="71" t="n">
        <f aca="false">K19+K41+K63+K85+K107+K129+K151+K173+K195+K217+K242+K264+K286+K308+K330+K352+K374+K396+K418+K440+K462+K484</f>
        <v>202305.166420253</v>
      </c>
      <c r="L543" s="71" t="n">
        <f aca="false">L19+L41+L63+L85+L107+L129+L151+L173+L195+L217+L242+L264+L286+L308+L330+L352+L374+L396+L418+L440+L462+L484</f>
        <v>209903.259783659</v>
      </c>
      <c r="M543" s="71" t="n">
        <f aca="false">M19+M41+M63+M85+M107+M129+M151+M173+M195+M217+M242+M264+M286+M308+M330+M352+M374+M396+M418+M440+M462+M484</f>
        <v>205322.81549832</v>
      </c>
      <c r="N543" s="71" t="n">
        <f aca="false">N19+N41+N63+N85+N107+N129+N151+N173+N195+N217+N242+N264+N286+N308+N330+N352+N374+N396+N418+N440+N462+N484</f>
        <v>190340.339845986</v>
      </c>
      <c r="O543" s="71" t="n">
        <f aca="false">O19+O41+O63+O85+O107+O129+O151+O173+O195+O217+O242+O264+O286+O308+O330+O352+O374+O396+O418+O440+O462+O484</f>
        <v>175756.073942124</v>
      </c>
      <c r="P543" s="71" t="n">
        <f aca="false">P19+P41+P63+P85+P107+P129+P151+P173+P195+P217+P242+P264+P286+P308+P330+P352+P374+P396+P418+P440+P462+P484</f>
        <v>158520.485246634</v>
      </c>
      <c r="Q543" s="71" t="n">
        <f aca="false">Q19+Q41+Q63+Q85+Q107+Q129+Q151+Q173+Q195+Q217+Q242+Q264+Q286+Q308+Q330+Q352+Q374+Q396+Q418+Q440+Q462+Q484</f>
        <v>173505.956327759</v>
      </c>
      <c r="R543" s="71" t="n">
        <f aca="false">R19+R41+R63+R85+R107+R129+R151+R173+R195+R217+R242+R264+R286+R308+R330+R352+R374+R396+R418+R440+R462+R484</f>
        <v>186489.75303313</v>
      </c>
      <c r="S543" s="71" t="n">
        <f aca="false">S19+S41+S63+S85+S107+S129+S151+S173+S195+S217+S242+S264+S286+S308+S330+S352+S374+S396+S418+S440+S462+S484</f>
        <v>198631.306507398</v>
      </c>
      <c r="T543" s="71" t="n">
        <f aca="false">T19+T41+T63+T85+T107+T129+T151+T173+T195+T217+T242+T264+T286+T308+T330+T352+T374+T396+T418+T440+T462+T484</f>
        <v>203637.567187734</v>
      </c>
      <c r="U543" s="71" t="n">
        <f aca="false">U19+U41+U63+U85+U107+U129+U151+U173+U195+U217+U242+U264+U286+U308+U330+U352+U374+U396+U418+U440+U462+U484</f>
        <v>202638.151689871</v>
      </c>
      <c r="V543" s="71" t="n">
        <f aca="false">V19+V41+V63+V85+V107+V129+V151+V173+V195+V217+V242+V264+V286+V308+V330+V352+V374+V396+V418+V440+V462+V484</f>
        <v>196220.917765918</v>
      </c>
      <c r="W543" s="71" t="n">
        <f aca="false">W19+W41+W63+W85+W107+W129+W151+W173+W195+W217+W242+W264+W286+W308+W330+W352+W374+W396+W418+W440+W462+W484</f>
        <v>191729.629295245</v>
      </c>
      <c r="X543" s="71" t="n">
        <f aca="false">X19+X41+X63+X85+X107+X129+X151+X173+X195+X217+X242+X264+X286+X308+X330+X352+X374+X396+X418+X440+X462+X484</f>
        <v>189586.3590281</v>
      </c>
      <c r="Y543" s="71" t="n">
        <f aca="false">Y19+Y41+Y63+Y85+Y107+Y129+Y151+Y173+Y195+Y217+Y242+Y264+Y286+Y308+Y330+Y352+Y374+Y396+Y418+Y440+Y462+Y484</f>
        <v>183419.805424573</v>
      </c>
      <c r="Z543" s="71" t="n">
        <f aca="false">Z19+Z41+Z63+Z85+Z107+Z129+Z151+Z173+Z195+Z217+Z242+Z264+Z286+Z308+Z330+Z352+Z374+Z396+Z418+Z440+Z462+Z484</f>
        <v>189808.988325156</v>
      </c>
      <c r="AA543" s="71" t="n">
        <f aca="false">AA19+AA41+AA63+AA85+AA107+AA129+AA151+AA173+AA195+AA217+AA242+AA264+AA286+AA308+AA330+AA352+AA374+AA396+AA418+AA440+AA462+AA484</f>
        <v>187473.063094526</v>
      </c>
      <c r="AB543" s="71" t="n">
        <f aca="false">AB19+AB41+AB63+AB85+AB107+AB129+AB151+AB173+AB195+AB217+AB242+AB264+AB286+AB308+AB330+AB352+AB374+AB396+AB418+AB440+AB462+AB484</f>
        <v>175579.260344148</v>
      </c>
    </row>
    <row r="544" customFormat="false" ht="15" hidden="false" customHeight="false" outlineLevel="0" collapsed="false">
      <c r="A544" s="28" t="s">
        <v>63</v>
      </c>
      <c r="B544" s="58" t="s">
        <v>757</v>
      </c>
      <c r="C544" s="59" t="n">
        <f aca="false">P544</f>
        <v>746044.201855481</v>
      </c>
      <c r="D544" s="59" t="n">
        <f aca="false">AB544</f>
        <v>712579.461517762</v>
      </c>
      <c r="E544" s="71" t="n">
        <f aca="false">E27+E49+E71+E93+E115+E137+E159+E181+E203+E228+E250+E272+E294+E316+E338+E360+E382+E404+E426+E448+E470+E492</f>
        <v>698829.936501559</v>
      </c>
      <c r="F544" s="71" t="n">
        <f aca="false">F27+F49+F71+F93+F115+F137+F159+F181+F203+F228+F250+F272+F294+F316+F338+F360+F382+F404+F426+F448+F470+F492</f>
        <v>520386.602036567</v>
      </c>
      <c r="G544" s="71" t="n">
        <f aca="false">G27+G49+G71+G93+G115+G137+G159+G181+G203+G228+G250+G272+G294+G316+G338+G360+G382+G404+G426+G448+G470+G492</f>
        <v>580461.475679056</v>
      </c>
      <c r="H544" s="71" t="n">
        <f aca="false">H27+H49+H71+H93+H115+H137+H159+H181+H203+H228+H250+H272+H294+H316+H338+H360+H382+H404+H426+H448+H470+H492</f>
        <v>694432.631999395</v>
      </c>
      <c r="I544" s="71" t="n">
        <f aca="false">I27+I49+I71+I93+I115+I137+I159+I181+I203+I228+I250+I272+I294+I316+I338+I360+I382+I404+I426+I448+I470+I492</f>
        <v>601638.542746721</v>
      </c>
      <c r="J544" s="71" t="n">
        <f aca="false">J27+J49+J71+J93+J115+J137+J159+J181+J203+J228+J250+J272+J294+J316+J338+J360+J382+J404+J426+J448+J470+J492</f>
        <v>732784.455194138</v>
      </c>
      <c r="K544" s="71" t="n">
        <f aca="false">K27+K49+K71+K93+K115+K137+K159+K181+K203+K228+K250+K272+K294+K316+K338+K360+K382+K404+K426+K448+K470+K492</f>
        <v>703983.311471203</v>
      </c>
      <c r="L544" s="71" t="n">
        <f aca="false">L27+L49+L71+L93+L115+L137+L159+L181+L203+L228+L250+L272+L294+L316+L338+L360+L382+L404+L426+L448+L470+L492</f>
        <v>607049.151254837</v>
      </c>
      <c r="M544" s="71" t="n">
        <f aca="false">M27+M49+M71+M93+M115+M137+M159+M181+M203+M228+M250+M272+M294+M316+M338+M360+M382+M404+M426+M448+M470+M492</f>
        <v>747799.847338346</v>
      </c>
      <c r="N544" s="71" t="n">
        <f aca="false">N27+N49+N71+N93+N115+N137+N159+N181+N203+N228+N250+N272+N294+N316+N338+N360+N382+N404+N426+N448+N470+N492</f>
        <v>849397.029453653</v>
      </c>
      <c r="O544" s="71" t="n">
        <f aca="false">O27+O49+O71+O93+O115+O137+O159+O181+O203+O228+O250+O272+O294+O316+O338+O360+O382+O404+O426+O448+O470+O492</f>
        <v>826109.183863469</v>
      </c>
      <c r="P544" s="71" t="n">
        <f aca="false">P27+P49+P71+P93+P115+P137+P159+P181+P203+P228+P250+P272+P294+P316+P338+P360+P382+P404+P426+P448+P470+P492</f>
        <v>746044.201855481</v>
      </c>
      <c r="Q544" s="71" t="n">
        <f aca="false">Q27+Q49+Q71+Q93+Q115+Q137+Q159+Q181+Q203+Q228+Q250+Q272+Q294+Q316+Q338+Q360+Q382+Q404+Q426+Q448+Q470+Q492</f>
        <v>739282.833832739</v>
      </c>
      <c r="R544" s="71" t="n">
        <f aca="false">R27+R49+R71+R93+R115+R137+R159+R181+R203+R228+R250+R272+R294+R316+R338+R360+R382+R404+R426+R448+R470+R492</f>
        <v>588010.830574087</v>
      </c>
      <c r="S544" s="71" t="n">
        <f aca="false">S27+S49+S71+S93+S115+S137+S159+S181+S203+S228+S250+S272+S294+S316+S338+S360+S382+S404+S426+S448+S470+S492</f>
        <v>673746.030957654</v>
      </c>
      <c r="T544" s="71" t="n">
        <f aca="false">T27+T49+T71+T93+T115+T137+T159+T181+T203+T228+T250+T272+T294+T316+T338+T360+T382+T404+T426+T448+T470+T492</f>
        <v>749387.019036319</v>
      </c>
      <c r="U544" s="71" t="n">
        <f aca="false">U27+U49+U71+U93+U115+U137+U159+U181+U203+U228+U250+U272+U294+U316+U338+U360+U382+U404+U426+U448+U470+U492</f>
        <v>688652.420755715</v>
      </c>
      <c r="V544" s="71" t="n">
        <f aca="false">V27+V49+V71+V93+V115+V137+V159+V181+V203+V228+V250+V272+V294+V316+V338+V360+V382+V404+V426+V448+V470+V492</f>
        <v>686019.766109174</v>
      </c>
      <c r="W544" s="71" t="n">
        <f aca="false">W27+W49+W71+W93+W115+W137+W159+W181+W203+W228+W250+W272+W294+W316+W338+W360+W382+W404+W426+W448+W470+W492</f>
        <v>688647.927723385</v>
      </c>
      <c r="X544" s="71" t="n">
        <f aca="false">X27+X49+X71+X93+X115+X137+X159+X181+X203+X228+X250+X272+X294+X316+X338+X360+X382+X404+X426+X448+X470+X492</f>
        <v>622812.27908262</v>
      </c>
      <c r="Y544" s="71" t="n">
        <f aca="false">Y27+Y49+Y71+Y93+Y115+Y137+Y159+Y181+Y203+Y228+Y250+Y272+Y294+Y316+Y338+Y360+Y382+Y404+Y426+Y448+Y470+Y492</f>
        <v>646595.251030203</v>
      </c>
      <c r="Z544" s="71" t="n">
        <f aca="false">Z27+Z49+Z71+Z93+Z115+Z137+Z159+Z181+Z203+Z228+Z250+Z272+Z294+Z316+Z338+Z360+Z382+Z404+Z426+Z448+Z470+Z492</f>
        <v>737302.0185679</v>
      </c>
      <c r="AA544" s="71" t="n">
        <f aca="false">AA27+AA49+AA71+AA93+AA115+AA137+AA159+AA181+AA203+AA228+AA250+AA272+AA294+AA316+AA338+AA360+AA382+AA404+AA426+AA448+AA470+AA492</f>
        <v>709504.93838933</v>
      </c>
      <c r="AB544" s="71" t="n">
        <f aca="false">AB27+AB49+AB71+AB93+AB115+AB137+AB159+AB181+AB203+AB228+AB250+AB272+AB294+AB316+AB338+AB360+AB382+AB404+AB426+AB448+AB470+AB492</f>
        <v>712579.461517762</v>
      </c>
    </row>
    <row r="545" customFormat="false" ht="15" hidden="false" customHeight="false" outlineLevel="0" collapsed="false">
      <c r="A545" s="28" t="s">
        <v>314</v>
      </c>
      <c r="B545" s="58"/>
      <c r="E545" s="62" t="n">
        <f aca="false">IF(E541=0,0,MAX(E17,E39,E61,E83,E105,E127,E149,E171,E193,E215,E240,E262,E284,E306,E328,E350,E372,E394,E416,E438,E460,E482)/E541)</f>
        <v>0.264132587635097</v>
      </c>
      <c r="F545" s="62" t="n">
        <f aca="false">IF(F541=0,0,MAX(F17,F39,F61,F83,F105,F127,F149,F171,F193,F215,F240,F262,F284,F306,F328,F350,F372,F394,F416,F438,F460,F482)/F541)</f>
        <v>0.247772490755415</v>
      </c>
      <c r="G545" s="62" t="n">
        <f aca="false">IF(G541=0,0,MAX(G17,G39,G61,G83,G105,G127,G149,G171,G193,G215,G240,G262,G284,G306,G328,G350,G372,G394,G416,G438,G460,G482)/G541)</f>
        <v>0.206753131565161</v>
      </c>
      <c r="H545" s="62" t="n">
        <f aca="false">IF(H541=0,0,MAX(H17,H39,H61,H83,H105,H127,H149,H171,H193,H215,H240,H262,H284,H306,H328,H350,H372,H394,H416,H438,H460,H482)/H541)</f>
        <v>0.158495530866074</v>
      </c>
      <c r="I545" s="62" t="n">
        <f aca="false">IF(I541=0,0,MAX(I17,I39,I61,I83,I105,I127,I149,I171,I193,I215,I240,I262,I284,I306,I328,I350,I372,I394,I416,I438,I460,I482)/I541)</f>
        <v>0.150298264930412</v>
      </c>
      <c r="J545" s="62" t="n">
        <f aca="false">IF(J541=0,0,MAX(J17,J39,J61,J83,J105,J127,J149,J171,J193,J215,J240,J262,J284,J306,J328,J350,J372,J394,J416,J438,J460,J482)/J541)</f>
        <v>0.136333358632342</v>
      </c>
      <c r="K545" s="62" t="n">
        <f aca="false">IF(K541=0,0,MAX(K17,K39,K61,K83,K105,K127,K149,K171,K193,K215,K240,K262,K284,K306,K328,K350,K372,K394,K416,K438,K460,K482)/K541)</f>
        <v>0.163612436017501</v>
      </c>
      <c r="L545" s="62" t="n">
        <f aca="false">IF(L541=0,0,MAX(L17,L39,L61,L83,L105,L127,L149,L171,L193,L215,L240,L262,L284,L306,L328,L350,L372,L394,L416,L438,L460,L482)/L541)</f>
        <v>0.197360211310951</v>
      </c>
      <c r="M545" s="62" t="n">
        <f aca="false">IF(M541=0,0,MAX(M17,M39,M61,M83,M105,M127,M149,M171,M193,M215,M240,M262,M284,M306,M328,M350,M372,M394,M416,M438,M460,M482)/M541)</f>
        <v>0.20493568342766</v>
      </c>
      <c r="N545" s="62" t="n">
        <f aca="false">IF(N541=0,0,MAX(N17,N39,N61,N83,N105,N127,N149,N171,N193,N215,N240,N262,N284,N306,N328,N350,N372,N394,N416,N438,N460,N482)/N541)</f>
        <v>0.202730685383144</v>
      </c>
      <c r="O545" s="62" t="n">
        <f aca="false">IF(O541=0,0,MAX(O17,O39,O61,O83,O105,O127,O149,O171,O193,O215,O240,O262,O284,O306,O328,O350,O372,O394,O416,O438,O460,O482)/O541)</f>
        <v>0.173524064703665</v>
      </c>
      <c r="P545" s="62" t="n">
        <f aca="false">IF(P541=0,0,MAX(P17,P39,P61,P83,P105,P127,P149,P171,P193,P215,P240,P262,P284,P306,P328,P350,P372,P394,P416,P438,P460,P482)/P541)</f>
        <v>0.1625493589971</v>
      </c>
      <c r="Q545" s="62" t="n">
        <f aca="false">IF(Q541=0,0,MAX(Q17,Q39,Q61,Q83,Q105,Q127,Q149,Q171,Q193,Q215,Q240,Q262,Q284,Q306,Q328,Q350,Q372,Q394,Q416,Q438,Q460,Q482)/Q541)</f>
        <v>0.164949730259435</v>
      </c>
      <c r="R545" s="62" t="n">
        <f aca="false">IF(R541=0,0,MAX(R17,R39,R61,R83,R105,R127,R149,R171,R193,R215,R240,R262,R284,R306,R328,R350,R372,R394,R416,R438,R460,R482)/R541)</f>
        <v>0.152144457296527</v>
      </c>
      <c r="S545" s="62" t="n">
        <f aca="false">IF(S541=0,0,MAX(S17,S39,S61,S83,S105,S127,S149,S171,S193,S215,S240,S262,S284,S306,S328,S350,S372,S394,S416,S438,S460,S482)/S541)</f>
        <v>0.16677232197096</v>
      </c>
      <c r="T545" s="62" t="n">
        <f aca="false">IF(T541=0,0,MAX(T17,T39,T61,T83,T105,T127,T149,T171,T193,T215,T240,T262,T284,T306,T328,T350,T372,T394,T416,T438,T460,T482)/T541)</f>
        <v>0.191092368041876</v>
      </c>
      <c r="U545" s="62" t="n">
        <f aca="false">IF(U541=0,0,MAX(U17,U39,U61,U83,U105,U127,U149,U171,U193,U215,U240,U262,U284,U306,U328,U350,U372,U394,U416,U438,U460,U482)/U541)</f>
        <v>0.191607737628333</v>
      </c>
      <c r="V545" s="62" t="n">
        <f aca="false">IF(V541=0,0,MAX(V17,V39,V61,V83,V105,V127,V149,V171,V193,V215,V240,V262,V284,V306,V328,V350,V372,V394,V416,V438,V460,V482)/V541)</f>
        <v>0.166304634210874</v>
      </c>
      <c r="W545" s="62" t="n">
        <f aca="false">IF(W541=0,0,MAX(W17,W39,W61,W83,W105,W127,W149,W171,W193,W215,W240,W262,W284,W306,W328,W350,W372,W394,W416,W438,W460,W482)/W541)</f>
        <v>0.203130344661911</v>
      </c>
      <c r="X545" s="62" t="n">
        <f aca="false">IF(X541=0,0,MAX(X17,X39,X61,X83,X105,X127,X149,X171,X193,X215,X240,X262,X284,X306,X328,X350,X372,X394,X416,X438,X460,X482)/X541)</f>
        <v>0.206281360002972</v>
      </c>
      <c r="Y545" s="62" t="n">
        <f aca="false">IF(Y541=0,0,MAX(Y17,Y39,Y61,Y83,Y105,Y127,Y149,Y171,Y193,Y215,Y240,Y262,Y284,Y306,Y328,Y350,Y372,Y394,Y416,Y438,Y460,Y482)/Y541)</f>
        <v>0.179327633979273</v>
      </c>
      <c r="Z545" s="62" t="n">
        <f aca="false">IF(Z541=0,0,MAX(Z17,Z39,Z61,Z83,Z105,Z127,Z149,Z171,Z193,Z215,Z240,Z262,Z284,Z306,Z328,Z350,Z372,Z394,Z416,Z438,Z460,Z482)/Z541)</f>
        <v>0.204754361563101</v>
      </c>
      <c r="AA545" s="62" t="n">
        <f aca="false">IF(AA541=0,0,MAX(AA17,AA39,AA61,AA83,AA105,AA127,AA149,AA171,AA193,AA215,AA240,AA262,AA284,AA306,AA328,AA350,AA372,AA394,AA416,AA438,AA460,AA482)/AA541)</f>
        <v>0.203958504890558</v>
      </c>
      <c r="AB545" s="62" t="n">
        <f aca="false">IF(AB541=0,0,MAX(AB17,AB39,AB61,AB83,AB105,AB127,AB149,AB171,AB193,AB215,AB240,AB262,AB284,AB306,AB328,AB350,AB372,AB394,AB416,AB438,AB460,AB482)/AB541)</f>
        <v>0.184093309033031</v>
      </c>
    </row>
    <row r="546" customFormat="false" ht="15" hidden="false" customHeight="false" outlineLevel="0" collapsed="false">
      <c r="A546" s="22" t="s">
        <v>803</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row>
    <row r="547" customFormat="false" ht="15" hidden="false" customHeight="false" outlineLevel="0" collapsed="false">
      <c r="A547" s="28" t="s">
        <v>804</v>
      </c>
      <c r="B547" s="58" t="s">
        <v>805</v>
      </c>
      <c r="C547" s="59" t="n">
        <f aca="false">SUM(E547:P547)</f>
        <v>788728.6875</v>
      </c>
      <c r="D547" s="59" t="n">
        <f aca="false">SUM(Q547:AB547)</f>
        <v>700232.9178</v>
      </c>
      <c r="E547" s="60" t="n">
        <f aca="false">Retainers!E13*Utilisation!E96+Retainers!E133*Utilisation!E95+Projects!E48*Utilisation!E97+Projects!E140*Utilisation!E97</f>
        <v>83621.265</v>
      </c>
      <c r="F547" s="60" t="n">
        <f aca="false">Retainers!F13*Utilisation!F96+Retainers!F133*Utilisation!F95+Projects!F48*Utilisation!F97+Projects!F140*Utilisation!F97</f>
        <v>71851.13</v>
      </c>
      <c r="G547" s="60" t="n">
        <f aca="false">Retainers!G13*Utilisation!G96+Retainers!G133*Utilisation!G95+Projects!G48*Utilisation!G97+Projects!G140*Utilisation!G97</f>
        <v>66099.865</v>
      </c>
      <c r="H547" s="60" t="n">
        <f aca="false">Retainers!H13*Utilisation!H96+Retainers!H133*Utilisation!H95+Projects!H48*Utilisation!H97+Projects!H140*Utilisation!H97</f>
        <v>53736.15</v>
      </c>
      <c r="I547" s="60" t="n">
        <f aca="false">Retainers!I13*Utilisation!I96+Retainers!I133*Utilisation!I95+Projects!I48*Utilisation!I97+Projects!I140*Utilisation!I97</f>
        <v>53382.55</v>
      </c>
      <c r="J547" s="60" t="n">
        <f aca="false">Retainers!J13*Utilisation!J96+Retainers!J133*Utilisation!J95+Projects!J48*Utilisation!J97+Projects!J140*Utilisation!J97</f>
        <v>54156.05</v>
      </c>
      <c r="K547" s="60" t="n">
        <f aca="false">Retainers!K13*Utilisation!K96+Retainers!K133*Utilisation!K95+Projects!K48*Utilisation!K97+Projects!K140*Utilisation!K97</f>
        <v>62491.325</v>
      </c>
      <c r="L547" s="60" t="n">
        <f aca="false">Retainers!L13*Utilisation!L96+Retainers!L133*Utilisation!L95+Projects!L48*Utilisation!L97+Projects!L140*Utilisation!L97</f>
        <v>76851.97</v>
      </c>
      <c r="M547" s="60" t="n">
        <f aca="false">Retainers!M13*Utilisation!M96+Retainers!M133*Utilisation!M95+Projects!M48*Utilisation!M97+Projects!M140*Utilisation!M97</f>
        <v>78264.4215046296</v>
      </c>
      <c r="N547" s="60" t="n">
        <f aca="false">Retainers!N13*Utilisation!N96+Retainers!N133*Utilisation!N95+Projects!N48*Utilisation!N97+Projects!N140*Utilisation!N97</f>
        <v>74098.5137268518</v>
      </c>
      <c r="O547" s="60" t="n">
        <f aca="false">Retainers!O13*Utilisation!O96+Retainers!O133*Utilisation!O95+Projects!O48*Utilisation!O97+Projects!O140*Utilisation!O97</f>
        <v>61600.7903935185</v>
      </c>
      <c r="P547" s="60" t="n">
        <f aca="false">Retainers!P13*Utilisation!P96+Retainers!P133*Utilisation!P95+Projects!P48*Utilisation!P97+Projects!P140*Utilisation!P97</f>
        <v>52574.656875</v>
      </c>
      <c r="Q547" s="60" t="n">
        <f aca="false">Retainers!Q13*Utilisation!Q96+Retainers!Q133*Utilisation!Q95+Projects!Q48*Utilisation!Q97+Projects!Q140*Utilisation!Q97</f>
        <v>54677.64315</v>
      </c>
      <c r="R547" s="60" t="n">
        <f aca="false">Retainers!R13*Utilisation!R96+Retainers!R133*Utilisation!R95+Projects!R48*Utilisation!R97+Projects!R140*Utilisation!R97</f>
        <v>54677.64315</v>
      </c>
      <c r="S547" s="60" t="n">
        <f aca="false">Retainers!S13*Utilisation!S96+Retainers!S133*Utilisation!S95+Projects!S48*Utilisation!S97+Projects!S140*Utilisation!S97</f>
        <v>59087.76315</v>
      </c>
      <c r="T547" s="60" t="n">
        <f aca="false">Retainers!T13*Utilisation!T96+Retainers!T133*Utilisation!T95+Projects!T48*Utilisation!T97+Projects!T140*Utilisation!T97</f>
        <v>59087.76315</v>
      </c>
      <c r="U547" s="60" t="n">
        <f aca="false">Retainers!U13*Utilisation!U96+Retainers!U133*Utilisation!U95+Projects!U48*Utilisation!U97+Projects!U140*Utilisation!U97</f>
        <v>59087.76315</v>
      </c>
      <c r="V547" s="60" t="n">
        <f aca="false">Retainers!V13*Utilisation!V96+Retainers!V133*Utilisation!V95+Projects!V48*Utilisation!V97+Projects!V140*Utilisation!V97</f>
        <v>59087.76315</v>
      </c>
      <c r="W547" s="60" t="n">
        <f aca="false">Retainers!W13*Utilisation!W96+Retainers!W133*Utilisation!W95+Projects!W48*Utilisation!W97+Projects!W140*Utilisation!W97</f>
        <v>59087.76315</v>
      </c>
      <c r="X547" s="60" t="n">
        <f aca="false">Retainers!X13*Utilisation!X96+Retainers!X133*Utilisation!X95+Projects!X48*Utilisation!X97+Projects!X140*Utilisation!X97</f>
        <v>59087.76315</v>
      </c>
      <c r="Y547" s="60" t="n">
        <f aca="false">Retainers!Y13*Utilisation!Y96+Retainers!Y133*Utilisation!Y95+Projects!Y48*Utilisation!Y97+Projects!Y140*Utilisation!Y97</f>
        <v>59087.76315</v>
      </c>
      <c r="Z547" s="60" t="n">
        <f aca="false">Retainers!Z13*Utilisation!Z96+Retainers!Z133*Utilisation!Z95+Projects!Z48*Utilisation!Z97+Projects!Z140*Utilisation!Z97</f>
        <v>59087.76315</v>
      </c>
      <c r="AA547" s="60" t="n">
        <f aca="false">Retainers!AA13*Utilisation!AA96+Retainers!AA133*Utilisation!AA95+Projects!AA48*Utilisation!AA97+Projects!AA140*Utilisation!AA97</f>
        <v>59087.76315</v>
      </c>
      <c r="AB547" s="60" t="n">
        <f aca="false">Retainers!AB13*Utilisation!AB96+Retainers!AB133*Utilisation!AB95+Projects!AB48*Utilisation!AB97+Projects!AB140*Utilisation!AB97</f>
        <v>59087.76315</v>
      </c>
    </row>
    <row r="548" customFormat="false" ht="15" hidden="false" customHeight="false" outlineLevel="0" collapsed="false">
      <c r="A548" s="28" t="s">
        <v>806</v>
      </c>
      <c r="B548" s="58" t="s">
        <v>805</v>
      </c>
      <c r="C548" s="59" t="n">
        <f aca="false">SUM(E548:P548)</f>
        <v>316116.05625</v>
      </c>
      <c r="D548" s="59" t="n">
        <f aca="false">SUM(Q548:AB548)</f>
        <v>305726.8660875</v>
      </c>
      <c r="E548" s="60" t="n">
        <f aca="false">Retainers!E23*Utilisation!E94+TM_Media!E40*Utilisation!E99</f>
        <v>26473.115</v>
      </c>
      <c r="F548" s="60" t="n">
        <f aca="false">Retainers!F23*Utilisation!F94+TM_Media!F40*Utilisation!F99</f>
        <v>26708.98</v>
      </c>
      <c r="G548" s="60" t="n">
        <f aca="false">Retainers!G23*Utilisation!G94+TM_Media!G40*Utilisation!G99</f>
        <v>25868.07</v>
      </c>
      <c r="H548" s="60" t="n">
        <f aca="false">Retainers!H23*Utilisation!H94+TM_Media!H40*Utilisation!H99</f>
        <v>26442.35</v>
      </c>
      <c r="I548" s="60" t="n">
        <f aca="false">Retainers!I23*Utilisation!I94+TM_Media!I40*Utilisation!I99</f>
        <v>25888.58</v>
      </c>
      <c r="J548" s="60" t="n">
        <f aca="false">Retainers!J23*Utilisation!J94+TM_Media!J40*Utilisation!J99</f>
        <v>26842.295</v>
      </c>
      <c r="K548" s="60" t="n">
        <f aca="false">Retainers!K23*Utilisation!K94+TM_Media!K40*Utilisation!K99</f>
        <v>26708.98</v>
      </c>
      <c r="L548" s="60" t="n">
        <f aca="false">Retainers!L23*Utilisation!L94+TM_Media!L40*Utilisation!L99</f>
        <v>27273.005</v>
      </c>
      <c r="M548" s="60" t="n">
        <f aca="false">Retainers!M23*Utilisation!M94+TM_Media!M40*Utilisation!M99</f>
        <v>25977.6703125</v>
      </c>
      <c r="N548" s="60" t="n">
        <f aca="false">Retainers!N23*Utilisation!N94+TM_Media!N40*Utilisation!N99</f>
        <v>25977.6703125</v>
      </c>
      <c r="O548" s="60" t="n">
        <f aca="false">Retainers!O23*Utilisation!O94+TM_Media!O40*Utilisation!O99</f>
        <v>25977.6703125</v>
      </c>
      <c r="P548" s="60" t="n">
        <f aca="false">Retainers!P23*Utilisation!P94+TM_Media!P40*Utilisation!P99</f>
        <v>25977.6703125</v>
      </c>
      <c r="Q548" s="60" t="n">
        <f aca="false">Retainers!Q23*Utilisation!Q94+TM_Media!Q40*Utilisation!Q99</f>
        <v>27016.777125</v>
      </c>
      <c r="R548" s="60" t="n">
        <f aca="false">Retainers!R23*Utilisation!R94+TM_Media!R40*Utilisation!R99</f>
        <v>27016.777125</v>
      </c>
      <c r="S548" s="60" t="n">
        <f aca="false">Retainers!S23*Utilisation!S94+TM_Media!S40*Utilisation!S99</f>
        <v>27016.777125</v>
      </c>
      <c r="T548" s="60" t="n">
        <f aca="false">Retainers!T23*Utilisation!T94+TM_Media!T40*Utilisation!T99</f>
        <v>24964.0594125</v>
      </c>
      <c r="U548" s="60" t="n">
        <f aca="false">Retainers!U23*Utilisation!U94+TM_Media!U40*Utilisation!U99</f>
        <v>24964.0594125</v>
      </c>
      <c r="V548" s="60" t="n">
        <f aca="false">Retainers!V23*Utilisation!V94+TM_Media!V40*Utilisation!V99</f>
        <v>24964.0594125</v>
      </c>
      <c r="W548" s="60" t="n">
        <f aca="false">Retainers!W23*Utilisation!W94+TM_Media!W40*Utilisation!W99</f>
        <v>24964.0594125</v>
      </c>
      <c r="X548" s="60" t="n">
        <f aca="false">Retainers!X23*Utilisation!X94+TM_Media!X40*Utilisation!X99</f>
        <v>24964.0594125</v>
      </c>
      <c r="Y548" s="60" t="n">
        <f aca="false">Retainers!Y23*Utilisation!Y94+TM_Media!Y40*Utilisation!Y99</f>
        <v>24964.0594125</v>
      </c>
      <c r="Z548" s="60" t="n">
        <f aca="false">Retainers!Z23*Utilisation!Z94+TM_Media!Z40*Utilisation!Z99</f>
        <v>24964.0594125</v>
      </c>
      <c r="AA548" s="60" t="n">
        <f aca="false">Retainers!AA23*Utilisation!AA94+TM_Media!AA40*Utilisation!AA99</f>
        <v>24964.0594125</v>
      </c>
      <c r="AB548" s="60" t="n">
        <f aca="false">Retainers!AB23*Utilisation!AB94+TM_Media!AB40*Utilisation!AB99</f>
        <v>24964.0594125</v>
      </c>
    </row>
    <row r="549" customFormat="false" ht="15" hidden="false" customHeight="false" outlineLevel="0" collapsed="false">
      <c r="A549" s="28" t="s">
        <v>807</v>
      </c>
      <c r="B549" s="58" t="s">
        <v>805</v>
      </c>
      <c r="C549" s="59" t="n">
        <f aca="false">SUM(E549:P549)</f>
        <v>105990.894333333</v>
      </c>
      <c r="D549" s="59" t="n">
        <f aca="false">SUM(Q549:AB549)</f>
        <v>171045.651322</v>
      </c>
      <c r="E549" s="60" t="n">
        <f aca="false">Retainers!E43*Utilisation!E94</f>
        <v>0</v>
      </c>
      <c r="F549" s="60" t="n">
        <f aca="false">Retainers!F43*Utilisation!F94</f>
        <v>0</v>
      </c>
      <c r="G549" s="60" t="n">
        <f aca="false">Retainers!G43*Utilisation!G94</f>
        <v>0</v>
      </c>
      <c r="H549" s="60" t="n">
        <f aca="false">Retainers!H43*Utilisation!H94</f>
        <v>0</v>
      </c>
      <c r="I549" s="60" t="n">
        <f aca="false">Retainers!I43*Utilisation!I94</f>
        <v>0</v>
      </c>
      <c r="J549" s="60" t="n">
        <f aca="false">Retainers!J43*Utilisation!J94</f>
        <v>15710.66</v>
      </c>
      <c r="K549" s="60" t="n">
        <f aca="false">Retainers!K43*Utilisation!K94</f>
        <v>14992.81</v>
      </c>
      <c r="L549" s="60" t="n">
        <f aca="false">Retainers!L43*Utilisation!L94</f>
        <v>15208.165</v>
      </c>
      <c r="M549" s="60" t="n">
        <f aca="false">Retainers!M43*Utilisation!M94</f>
        <v>15019.8148333333</v>
      </c>
      <c r="N549" s="60" t="n">
        <f aca="false">Retainers!N43*Utilisation!N94</f>
        <v>15019.8148333333</v>
      </c>
      <c r="O549" s="60" t="n">
        <f aca="false">Retainers!O43*Utilisation!O94</f>
        <v>15019.8148333333</v>
      </c>
      <c r="P549" s="60" t="n">
        <f aca="false">Retainers!P43*Utilisation!P94</f>
        <v>15019.8148333333</v>
      </c>
      <c r="Q549" s="60" t="n">
        <f aca="false">Retainers!Q43*Utilisation!Q94</f>
        <v>15620.6074266667</v>
      </c>
      <c r="R549" s="60" t="n">
        <f aca="false">Retainers!R43*Utilisation!R94</f>
        <v>15620.6074266667</v>
      </c>
      <c r="S549" s="60" t="n">
        <f aca="false">Retainers!S43*Utilisation!S94</f>
        <v>15620.6074266667</v>
      </c>
      <c r="T549" s="60" t="n">
        <f aca="false">Retainers!T43*Utilisation!T94</f>
        <v>15620.6074266667</v>
      </c>
      <c r="U549" s="60" t="n">
        <f aca="false">Retainers!U43*Utilisation!U94</f>
        <v>15620.6074266667</v>
      </c>
      <c r="V549" s="60" t="n">
        <f aca="false">Retainers!V43*Utilisation!V94</f>
        <v>13277.5163126667</v>
      </c>
      <c r="W549" s="60" t="n">
        <f aca="false">Retainers!W43*Utilisation!W94</f>
        <v>13277.5163126667</v>
      </c>
      <c r="X549" s="60" t="n">
        <f aca="false">Retainers!X43*Utilisation!X94</f>
        <v>13277.5163126667</v>
      </c>
      <c r="Y549" s="60" t="n">
        <f aca="false">Retainers!Y43*Utilisation!Y94</f>
        <v>13277.5163126667</v>
      </c>
      <c r="Z549" s="60" t="n">
        <f aca="false">Retainers!Z43*Utilisation!Z94</f>
        <v>13277.5163126667</v>
      </c>
      <c r="AA549" s="60" t="n">
        <f aca="false">Retainers!AA43*Utilisation!AA94</f>
        <v>13277.5163126667</v>
      </c>
      <c r="AB549" s="60" t="n">
        <f aca="false">Retainers!AB43*Utilisation!AB94</f>
        <v>13277.5163126667</v>
      </c>
    </row>
    <row r="550" customFormat="false" ht="15" hidden="false" customHeight="false" outlineLevel="0" collapsed="false">
      <c r="A550" s="28" t="s">
        <v>808</v>
      </c>
      <c r="B550" s="58" t="s">
        <v>805</v>
      </c>
      <c r="C550" s="59" t="n">
        <f aca="false">SUM(E550:P550)</f>
        <v>290148.810126582</v>
      </c>
      <c r="D550" s="59" t="n">
        <f aca="false">SUM(Q550:AB550)</f>
        <v>302016</v>
      </c>
      <c r="E550" s="60" t="n">
        <f aca="false">TM_Media!E9*Utilisation!E98</f>
        <v>28325</v>
      </c>
      <c r="F550" s="60" t="n">
        <f aca="false">TM_Media!F9*Utilisation!F98</f>
        <v>24695</v>
      </c>
      <c r="G550" s="60" t="n">
        <f aca="false">TM_Media!G9*Utilisation!G98</f>
        <v>24475</v>
      </c>
      <c r="H550" s="60" t="n">
        <f aca="false">TM_Media!H9*Utilisation!H98</f>
        <v>20977</v>
      </c>
      <c r="I550" s="60" t="n">
        <f aca="false">TM_Media!I9*Utilisation!I98</f>
        <v>22737</v>
      </c>
      <c r="J550" s="60" t="n">
        <f aca="false">TM_Media!J9*Utilisation!J98</f>
        <v>23672</v>
      </c>
      <c r="K550" s="60" t="n">
        <f aca="false">TM_Media!K9*Utilisation!K98</f>
        <v>18590</v>
      </c>
      <c r="L550" s="60" t="n">
        <f aca="false">TM_Media!L9*Utilisation!L98</f>
        <v>27093</v>
      </c>
      <c r="M550" s="60" t="n">
        <f aca="false">TM_Media!M9*Utilisation!M98</f>
        <v>26400</v>
      </c>
      <c r="N550" s="60" t="n">
        <f aca="false">TM_Media!N9*Utilisation!N98</f>
        <v>27402.5316455696</v>
      </c>
      <c r="O550" s="60" t="n">
        <f aca="false">TM_Media!O9*Utilisation!O98</f>
        <v>25397.4683544304</v>
      </c>
      <c r="P550" s="60" t="n">
        <f aca="false">TM_Media!P9*Utilisation!P98</f>
        <v>20384.8101265823</v>
      </c>
      <c r="Q550" s="60" t="n">
        <f aca="false">TM_Media!Q9*Utilisation!Q98</f>
        <v>26413.3670886076</v>
      </c>
      <c r="R550" s="60" t="n">
        <f aca="false">TM_Media!R9*Utilisation!R98</f>
        <v>25370.7341772152</v>
      </c>
      <c r="S550" s="60" t="n">
        <f aca="false">TM_Media!S9*Utilisation!S98</f>
        <v>27456</v>
      </c>
      <c r="T550" s="60" t="n">
        <f aca="false">TM_Media!T9*Utilisation!T98</f>
        <v>26065.8227848101</v>
      </c>
      <c r="U550" s="60" t="n">
        <f aca="false">TM_Media!U9*Utilisation!U98</f>
        <v>26065.8227848101</v>
      </c>
      <c r="V550" s="60" t="n">
        <f aca="false">TM_Media!V9*Utilisation!V98</f>
        <v>23980.5569620253</v>
      </c>
      <c r="W550" s="60" t="n">
        <f aca="false">TM_Media!W9*Utilisation!W98</f>
        <v>19462.4810126582</v>
      </c>
      <c r="X550" s="60" t="n">
        <f aca="false">TM_Media!X9*Utilisation!X98</f>
        <v>23633.0126582278</v>
      </c>
      <c r="Y550" s="60" t="n">
        <f aca="false">TM_Media!Y9*Utilisation!Y98</f>
        <v>27456</v>
      </c>
      <c r="Z550" s="60" t="n">
        <f aca="false">TM_Media!Z9*Utilisation!Z98</f>
        <v>28498.6329113924</v>
      </c>
      <c r="AA550" s="60" t="n">
        <f aca="false">TM_Media!AA9*Utilisation!AA98</f>
        <v>26413.3670886076</v>
      </c>
      <c r="AB550" s="60" t="n">
        <f aca="false">TM_Media!AB9*Utilisation!AB98</f>
        <v>21200.2025316456</v>
      </c>
    </row>
    <row r="551" customFormat="false" ht="15" hidden="false" customHeight="false" outlineLevel="0" collapsed="false">
      <c r="A551" s="28" t="s">
        <v>809</v>
      </c>
      <c r="B551" s="58" t="s">
        <v>805</v>
      </c>
      <c r="C551" s="59" t="n">
        <f aca="false">SUM(E551:P551)</f>
        <v>182784.493670886</v>
      </c>
      <c r="D551" s="59" t="n">
        <f aca="false">SUM(Q551:AB551)</f>
        <v>82368</v>
      </c>
      <c r="E551" s="60" t="n">
        <f aca="false">Projects!E84*Utilisation!E97+TM_Media!E21*Utilisation!E98</f>
        <v>0</v>
      </c>
      <c r="F551" s="60" t="n">
        <f aca="false">Projects!F84*Utilisation!F97+TM_Media!F21*Utilisation!F98</f>
        <v>0</v>
      </c>
      <c r="G551" s="60" t="n">
        <f aca="false">Projects!G84*Utilisation!G97+TM_Media!G21*Utilisation!G98</f>
        <v>8499.465</v>
      </c>
      <c r="H551" s="60" t="n">
        <f aca="false">Projects!H84*Utilisation!H97+TM_Media!H21*Utilisation!H98</f>
        <v>23132.005</v>
      </c>
      <c r="I551" s="60" t="n">
        <f aca="false">Projects!I84*Utilisation!I97+TM_Media!I21*Utilisation!I98</f>
        <v>31794.295</v>
      </c>
      <c r="J551" s="60" t="n">
        <f aca="false">Projects!J84*Utilisation!J97+TM_Media!J21*Utilisation!J98</f>
        <v>38893.465</v>
      </c>
      <c r="K551" s="60" t="n">
        <f aca="false">Projects!K84*Utilisation!K97+TM_Media!K21*Utilisation!K98</f>
        <v>32858.085</v>
      </c>
      <c r="L551" s="60" t="n">
        <f aca="false">Projects!L84*Utilisation!L97+TM_Media!L21*Utilisation!L98</f>
        <v>17834.765</v>
      </c>
      <c r="M551" s="60" t="n">
        <f aca="false">Projects!M84*Utilisation!M97+TM_Media!M21*Utilisation!M98</f>
        <v>9812.92000000001</v>
      </c>
      <c r="N551" s="60" t="n">
        <f aca="false">Projects!N84*Utilisation!N97+TM_Media!N21*Utilisation!N98</f>
        <v>7473.41772151899</v>
      </c>
      <c r="O551" s="60" t="n">
        <f aca="false">Projects!O84*Utilisation!O97+TM_Media!O21*Utilisation!O98</f>
        <v>6926.58227848101</v>
      </c>
      <c r="P551" s="60" t="n">
        <f aca="false">Projects!P84*Utilisation!P97+TM_Media!P21*Utilisation!P98</f>
        <v>5559.49367088608</v>
      </c>
      <c r="Q551" s="60" t="n">
        <f aca="false">Projects!Q84*Utilisation!Q97+TM_Media!Q21*Utilisation!Q98</f>
        <v>7203.64556962025</v>
      </c>
      <c r="R551" s="60" t="n">
        <f aca="false">Projects!R84*Utilisation!R97+TM_Media!R21*Utilisation!R98</f>
        <v>6919.29113924051</v>
      </c>
      <c r="S551" s="60" t="n">
        <f aca="false">Projects!S84*Utilisation!S97+TM_Media!S21*Utilisation!S98</f>
        <v>7488</v>
      </c>
      <c r="T551" s="60" t="n">
        <f aca="false">Projects!T84*Utilisation!T97+TM_Media!T21*Utilisation!T98</f>
        <v>7108.86075949367</v>
      </c>
      <c r="U551" s="60" t="n">
        <f aca="false">Projects!U84*Utilisation!U97+TM_Media!U21*Utilisation!U98</f>
        <v>7108.86075949367</v>
      </c>
      <c r="V551" s="60" t="n">
        <f aca="false">Projects!V84*Utilisation!V97+TM_Media!V21*Utilisation!V98</f>
        <v>6540.15189873418</v>
      </c>
      <c r="W551" s="60" t="n">
        <f aca="false">Projects!W84*Utilisation!W97+TM_Media!W21*Utilisation!W98</f>
        <v>5307.94936708861</v>
      </c>
      <c r="X551" s="60" t="n">
        <f aca="false">Projects!X84*Utilisation!X97+TM_Media!X21*Utilisation!X98</f>
        <v>6445.36708860759</v>
      </c>
      <c r="Y551" s="60" t="n">
        <f aca="false">Projects!Y84*Utilisation!Y97+TM_Media!Y21*Utilisation!Y98</f>
        <v>7488</v>
      </c>
      <c r="Z551" s="60" t="n">
        <f aca="false">Projects!Z84*Utilisation!Z97+TM_Media!Z21*Utilisation!Z98</f>
        <v>7772.35443037975</v>
      </c>
      <c r="AA551" s="60" t="n">
        <f aca="false">Projects!AA84*Utilisation!AA97+TM_Media!AA21*Utilisation!AA98</f>
        <v>7203.64556962025</v>
      </c>
      <c r="AB551" s="60" t="n">
        <f aca="false">Projects!AB84*Utilisation!AB97+TM_Media!AB21*Utilisation!AB98</f>
        <v>5781.87341772152</v>
      </c>
    </row>
    <row r="552" customFormat="false" ht="15" hidden="false" customHeight="false" outlineLevel="0" collapsed="false">
      <c r="A552" s="28" t="s">
        <v>810</v>
      </c>
      <c r="B552" s="58" t="s">
        <v>805</v>
      </c>
      <c r="C552" s="59" t="n">
        <f aca="false">SUM(E552:P552)</f>
        <v>348533.8025</v>
      </c>
      <c r="D552" s="59" t="n">
        <f aca="false">SUM(Q552:AB552)</f>
        <v>265320.65937</v>
      </c>
      <c r="E552" s="60" t="n">
        <f aca="false">Retainers!E33*Utilisation!E96+Projects!E30*Utilisation!E97</f>
        <v>50895.13</v>
      </c>
      <c r="F552" s="60" t="n">
        <f aca="false">Retainers!F33*Utilisation!F96+Projects!F30*Utilisation!F97</f>
        <v>48418.11</v>
      </c>
      <c r="G552" s="60" t="n">
        <f aca="false">Retainers!G33*Utilisation!G96+Projects!G30*Utilisation!G97</f>
        <v>39077.675</v>
      </c>
      <c r="H552" s="60" t="n">
        <f aca="false">Retainers!H33*Utilisation!H96+Projects!H30*Utilisation!H97</f>
        <v>30117.945</v>
      </c>
      <c r="I552" s="60" t="n">
        <f aca="false">Retainers!I33*Utilisation!I96+Projects!I30*Utilisation!I97</f>
        <v>22906.65</v>
      </c>
      <c r="J552" s="60" t="n">
        <f aca="false">Retainers!J33*Utilisation!J96+Projects!J30*Utilisation!J97</f>
        <v>21602.75</v>
      </c>
      <c r="K552" s="60" t="n">
        <f aca="false">Retainers!K33*Utilisation!K96+Projects!K30*Utilisation!K97</f>
        <v>23912.2</v>
      </c>
      <c r="L552" s="60" t="n">
        <f aca="false">Retainers!L33*Utilisation!L96+Projects!L30*Utilisation!L97</f>
        <v>22088.95</v>
      </c>
      <c r="M552" s="60" t="n">
        <f aca="false">Retainers!M33*Utilisation!M96+Projects!M30*Utilisation!M97</f>
        <v>22378.598125</v>
      </c>
      <c r="N552" s="60" t="n">
        <f aca="false">Retainers!N33*Utilisation!N96+Projects!N30*Utilisation!N97</f>
        <v>22378.598125</v>
      </c>
      <c r="O552" s="60" t="n">
        <f aca="false">Retainers!O33*Utilisation!O96+Projects!O30*Utilisation!O97</f>
        <v>22378.598125</v>
      </c>
      <c r="P552" s="60" t="n">
        <f aca="false">Retainers!P33*Utilisation!P96+Projects!P30*Utilisation!P97</f>
        <v>22378.598125</v>
      </c>
      <c r="Q552" s="60" t="n">
        <f aca="false">Retainers!Q33*Utilisation!Q96+Projects!Q30*Utilisation!Q97</f>
        <v>23273.74205</v>
      </c>
      <c r="R552" s="60" t="n">
        <f aca="false">Retainers!R33*Utilisation!R96+Projects!R30*Utilisation!R97</f>
        <v>23273.74205</v>
      </c>
      <c r="S552" s="60" t="n">
        <f aca="false">Retainers!S33*Utilisation!S96+Projects!S30*Utilisation!S97</f>
        <v>23273.74205</v>
      </c>
      <c r="T552" s="60" t="n">
        <f aca="false">Retainers!T33*Utilisation!T96+Projects!T30*Utilisation!T97</f>
        <v>23273.74205</v>
      </c>
      <c r="U552" s="60" t="n">
        <f aca="false">Retainers!U33*Utilisation!U96+Projects!U30*Utilisation!U97</f>
        <v>23273.74205</v>
      </c>
      <c r="V552" s="60" t="n">
        <f aca="false">Retainers!V33*Utilisation!V96+Projects!V30*Utilisation!V97</f>
        <v>23273.74205</v>
      </c>
      <c r="W552" s="60" t="n">
        <f aca="false">Retainers!W33*Utilisation!W96+Projects!W30*Utilisation!W97</f>
        <v>20946.367845</v>
      </c>
      <c r="X552" s="60" t="n">
        <f aca="false">Retainers!X33*Utilisation!X96+Projects!X30*Utilisation!X97</f>
        <v>20946.367845</v>
      </c>
      <c r="Y552" s="60" t="n">
        <f aca="false">Retainers!Y33*Utilisation!Y96+Projects!Y30*Utilisation!Y97</f>
        <v>20946.367845</v>
      </c>
      <c r="Z552" s="60" t="n">
        <f aca="false">Retainers!Z33*Utilisation!Z96+Projects!Z30*Utilisation!Z97</f>
        <v>20946.367845</v>
      </c>
      <c r="AA552" s="60" t="n">
        <f aca="false">Retainers!AA33*Utilisation!AA96+Projects!AA30*Utilisation!AA97</f>
        <v>20946.367845</v>
      </c>
      <c r="AB552" s="60" t="n">
        <f aca="false">Retainers!AB33*Utilisation!AB96+Projects!AB30*Utilisation!AB97</f>
        <v>20946.367845</v>
      </c>
    </row>
    <row r="553" customFormat="false" ht="15" hidden="false" customHeight="false" outlineLevel="0" collapsed="false">
      <c r="A553" s="28" t="s">
        <v>811</v>
      </c>
      <c r="B553" s="58" t="s">
        <v>805</v>
      </c>
      <c r="C553" s="59" t="n">
        <f aca="false">SUM(E553:P553)</f>
        <v>60788</v>
      </c>
      <c r="D553" s="59" t="n">
        <f aca="false">SUM(Q553:AB553)</f>
        <v>0</v>
      </c>
      <c r="E553" s="60" t="n">
        <f aca="false">Projects!E120*Utilisation!E97</f>
        <v>0</v>
      </c>
      <c r="F553" s="60" t="n">
        <f aca="false">Projects!F120*Utilisation!F97</f>
        <v>0</v>
      </c>
      <c r="G553" s="60" t="n">
        <f aca="false">Projects!G120*Utilisation!G97</f>
        <v>0</v>
      </c>
      <c r="H553" s="60" t="n">
        <f aca="false">Projects!H120*Utilisation!H97</f>
        <v>0</v>
      </c>
      <c r="I553" s="60" t="n">
        <f aca="false">Projects!I120*Utilisation!I97</f>
        <v>0</v>
      </c>
      <c r="J553" s="60" t="n">
        <f aca="false">Projects!J120*Utilisation!J97</f>
        <v>4580.81</v>
      </c>
      <c r="K553" s="60" t="n">
        <f aca="false">Projects!K120*Utilisation!K97</f>
        <v>11245.78</v>
      </c>
      <c r="L553" s="60" t="n">
        <f aca="false">Projects!L120*Utilisation!L97</f>
        <v>14068.08</v>
      </c>
      <c r="M553" s="60" t="n">
        <f aca="false">Projects!M120*Utilisation!M97</f>
        <v>14874.5662962963</v>
      </c>
      <c r="N553" s="60" t="n">
        <f aca="false">Projects!N120*Utilisation!N97</f>
        <v>11441.9740740741</v>
      </c>
      <c r="O553" s="60" t="n">
        <f aca="false">Projects!O120*Utilisation!O97</f>
        <v>4576.78962962964</v>
      </c>
      <c r="P553" s="60" t="n">
        <f aca="false">Projects!P120*Utilisation!P97</f>
        <v>0</v>
      </c>
      <c r="Q553" s="60" t="n">
        <f aca="false">Projects!Q120*Utilisation!Q97</f>
        <v>0</v>
      </c>
      <c r="R553" s="60" t="n">
        <f aca="false">Projects!R120*Utilisation!R97</f>
        <v>0</v>
      </c>
      <c r="S553" s="60" t="n">
        <f aca="false">Projects!S120*Utilisation!S97</f>
        <v>0</v>
      </c>
      <c r="T553" s="60" t="n">
        <f aca="false">Projects!T120*Utilisation!T97</f>
        <v>0</v>
      </c>
      <c r="U553" s="60" t="n">
        <f aca="false">Projects!U120*Utilisation!U97</f>
        <v>0</v>
      </c>
      <c r="V553" s="60" t="n">
        <f aca="false">Projects!V120*Utilisation!V97</f>
        <v>0</v>
      </c>
      <c r="W553" s="60" t="n">
        <f aca="false">Projects!W120*Utilisation!W97</f>
        <v>0</v>
      </c>
      <c r="X553" s="60" t="n">
        <f aca="false">Projects!X120*Utilisation!X97</f>
        <v>0</v>
      </c>
      <c r="Y553" s="60" t="n">
        <f aca="false">Projects!Y120*Utilisation!Y97</f>
        <v>0</v>
      </c>
      <c r="Z553" s="60" t="n">
        <f aca="false">Projects!Z120*Utilisation!Z97</f>
        <v>0</v>
      </c>
      <c r="AA553" s="60" t="n">
        <f aca="false">Projects!AA120*Utilisation!AA97</f>
        <v>0</v>
      </c>
      <c r="AB553" s="60" t="n">
        <f aca="false">Projects!AB120*Utilisation!AB97</f>
        <v>0</v>
      </c>
    </row>
    <row r="554" customFormat="false" ht="15" hidden="false" customHeight="false" outlineLevel="0" collapsed="false">
      <c r="A554" s="28" t="s">
        <v>812</v>
      </c>
      <c r="B554" s="58" t="s">
        <v>805</v>
      </c>
      <c r="C554" s="59" t="n">
        <f aca="false">SUM(E554:P554)</f>
        <v>343090.046</v>
      </c>
      <c r="D554" s="59" t="n">
        <f aca="false">SUM(Q554:AB554)</f>
        <v>301348.027656</v>
      </c>
      <c r="E554" s="60" t="n">
        <f aca="false">Retainers!E53*Utilisation!E96+Projects!E158*Utilisation!E97</f>
        <v>0</v>
      </c>
      <c r="F554" s="60" t="n">
        <f aca="false">Retainers!F53*Utilisation!F96+Projects!F158*Utilisation!F97</f>
        <v>0</v>
      </c>
      <c r="G554" s="60" t="n">
        <f aca="false">Retainers!G53*Utilisation!G96+Projects!G158*Utilisation!G97</f>
        <v>0</v>
      </c>
      <c r="H554" s="60" t="n">
        <f aca="false">Retainers!H53*Utilisation!H96+Projects!H158*Utilisation!H97</f>
        <v>27746.55</v>
      </c>
      <c r="I554" s="60" t="n">
        <f aca="false">Retainers!I53*Utilisation!I96+Projects!I158*Utilisation!I97</f>
        <v>28265.9</v>
      </c>
      <c r="J554" s="60" t="n">
        <f aca="false">Retainers!J53*Utilisation!J96+Projects!J158*Utilisation!J97</f>
        <v>26984.1</v>
      </c>
      <c r="K554" s="60" t="n">
        <f aca="false">Retainers!K53*Utilisation!K96+Projects!K158*Utilisation!K97</f>
        <v>26575.25</v>
      </c>
      <c r="L554" s="60" t="n">
        <f aca="false">Retainers!L53*Utilisation!L96+Projects!L158*Utilisation!L97</f>
        <v>25978.55</v>
      </c>
      <c r="M554" s="60" t="n">
        <f aca="false">Retainers!M53*Utilisation!M96+Projects!M158*Utilisation!M97</f>
        <v>42217.189625</v>
      </c>
      <c r="N554" s="60" t="n">
        <f aca="false">Retainers!N53*Utilisation!N96+Projects!N158*Utilisation!N97</f>
        <v>61552.658375</v>
      </c>
      <c r="O554" s="60" t="n">
        <f aca="false">Retainers!O53*Utilisation!O96+Projects!O158*Utilisation!O97</f>
        <v>61552.658375</v>
      </c>
      <c r="P554" s="60" t="n">
        <f aca="false">Retainers!P53*Utilisation!P96+Projects!P158*Utilisation!P97</f>
        <v>42217.189625</v>
      </c>
      <c r="Q554" s="60" t="n">
        <f aca="false">Retainers!Q53*Utilisation!Q96+Projects!Q158*Utilisation!Q97</f>
        <v>27148.47096</v>
      </c>
      <c r="R554" s="60" t="n">
        <f aca="false">Retainers!R53*Utilisation!R96+Projects!R158*Utilisation!R97</f>
        <v>27148.47096</v>
      </c>
      <c r="S554" s="60" t="n">
        <f aca="false">Retainers!S53*Utilisation!S96+Projects!S158*Utilisation!S97</f>
        <v>27148.47096</v>
      </c>
      <c r="T554" s="60" t="n">
        <f aca="false">Retainers!T53*Utilisation!T96+Projects!T158*Utilisation!T97</f>
        <v>24433.623864</v>
      </c>
      <c r="U554" s="60" t="n">
        <f aca="false">Retainers!U53*Utilisation!U96+Projects!U158*Utilisation!U97</f>
        <v>24433.623864</v>
      </c>
      <c r="V554" s="60" t="n">
        <f aca="false">Retainers!V53*Utilisation!V96+Projects!V158*Utilisation!V97</f>
        <v>24433.623864</v>
      </c>
      <c r="W554" s="60" t="n">
        <f aca="false">Retainers!W53*Utilisation!W96+Projects!W158*Utilisation!W97</f>
        <v>24433.623864</v>
      </c>
      <c r="X554" s="60" t="n">
        <f aca="false">Retainers!X53*Utilisation!X96+Projects!X158*Utilisation!X97</f>
        <v>24433.623864</v>
      </c>
      <c r="Y554" s="60" t="n">
        <f aca="false">Retainers!Y53*Utilisation!Y96+Projects!Y158*Utilisation!Y97</f>
        <v>24433.623864</v>
      </c>
      <c r="Z554" s="60" t="n">
        <f aca="false">Retainers!Z53*Utilisation!Z96+Projects!Z158*Utilisation!Z97</f>
        <v>24433.623864</v>
      </c>
      <c r="AA554" s="60" t="n">
        <f aca="false">Retainers!AA53*Utilisation!AA96+Projects!AA158*Utilisation!AA97</f>
        <v>24433.623864</v>
      </c>
      <c r="AB554" s="60" t="n">
        <f aca="false">Retainers!AB53*Utilisation!AB96+Projects!AB158*Utilisation!AB97</f>
        <v>24433.623864</v>
      </c>
    </row>
    <row r="555" customFormat="false" ht="15" hidden="false" customHeight="false" outlineLevel="0" collapsed="false">
      <c r="A555" s="28" t="s">
        <v>813</v>
      </c>
      <c r="B555" s="58" t="s">
        <v>805</v>
      </c>
      <c r="C555" s="59" t="n">
        <f aca="false">SUM(E555:P555)</f>
        <v>212309.802</v>
      </c>
      <c r="D555" s="59" t="n">
        <f aca="false">SUM(Q555:AB555)</f>
        <v>212601.535848</v>
      </c>
      <c r="E555" s="60" t="n">
        <f aca="false">Retainers!E63*Utilisation!E95+TM_Media!E43*Utilisation!E99</f>
        <v>17066.56</v>
      </c>
      <c r="F555" s="60" t="n">
        <f aca="false">Retainers!F63*Utilisation!F95+TM_Media!F43*Utilisation!F99</f>
        <v>17385.24</v>
      </c>
      <c r="G555" s="60" t="n">
        <f aca="false">Retainers!G63*Utilisation!G95+TM_Media!G43*Utilisation!G99</f>
        <v>17847.84</v>
      </c>
      <c r="H555" s="60" t="n">
        <f aca="false">Retainers!H63*Utilisation!H95+TM_Media!H43*Utilisation!H99</f>
        <v>18341.28</v>
      </c>
      <c r="I555" s="60" t="n">
        <f aca="false">Retainers!I63*Utilisation!I95+TM_Media!I43*Utilisation!I99</f>
        <v>18639.4</v>
      </c>
      <c r="J555" s="60" t="n">
        <f aca="false">Retainers!J63*Utilisation!J95+TM_Media!J43*Utilisation!J99</f>
        <v>17015.16</v>
      </c>
      <c r="K555" s="60" t="n">
        <f aca="false">Retainers!K63*Utilisation!K95+TM_Media!K43*Utilisation!K99</f>
        <v>17991.76</v>
      </c>
      <c r="L555" s="60" t="n">
        <f aca="false">Retainers!L63*Utilisation!L95+TM_Media!L43*Utilisation!L99</f>
        <v>17827.28</v>
      </c>
      <c r="M555" s="60" t="n">
        <f aca="false">Retainers!M63*Utilisation!M95+TM_Media!M43*Utilisation!M99</f>
        <v>17548.8205</v>
      </c>
      <c r="N555" s="60" t="n">
        <f aca="false">Retainers!N63*Utilisation!N95+TM_Media!N43*Utilisation!N99</f>
        <v>17548.8205</v>
      </c>
      <c r="O555" s="60" t="n">
        <f aca="false">Retainers!O63*Utilisation!O95+TM_Media!O43*Utilisation!O99</f>
        <v>17548.8205</v>
      </c>
      <c r="P555" s="60" t="n">
        <f aca="false">Retainers!P63*Utilisation!P95+TM_Media!P43*Utilisation!P99</f>
        <v>17548.8205</v>
      </c>
      <c r="Q555" s="60" t="n">
        <f aca="false">Retainers!Q63*Utilisation!Q95+TM_Media!Q43*Utilisation!Q99</f>
        <v>18250.77332</v>
      </c>
      <c r="R555" s="60" t="n">
        <f aca="false">Retainers!R63*Utilisation!R95+TM_Media!R43*Utilisation!R99</f>
        <v>18250.77332</v>
      </c>
      <c r="S555" s="60" t="n">
        <f aca="false">Retainers!S63*Utilisation!S95+TM_Media!S43*Utilisation!S99</f>
        <v>18250.77332</v>
      </c>
      <c r="T555" s="60" t="n">
        <f aca="false">Retainers!T63*Utilisation!T95+TM_Media!T43*Utilisation!T99</f>
        <v>18250.77332</v>
      </c>
      <c r="U555" s="60" t="n">
        <f aca="false">Retainers!U63*Utilisation!U95+TM_Media!U43*Utilisation!U99</f>
        <v>18250.77332</v>
      </c>
      <c r="V555" s="60" t="n">
        <f aca="false">Retainers!V63*Utilisation!V95+TM_Media!V43*Utilisation!V99</f>
        <v>18250.77332</v>
      </c>
      <c r="W555" s="60" t="n">
        <f aca="false">Retainers!W63*Utilisation!W95+TM_Media!W43*Utilisation!W99</f>
        <v>17182.815988</v>
      </c>
      <c r="X555" s="60" t="n">
        <f aca="false">Retainers!X63*Utilisation!X95+TM_Media!X43*Utilisation!X99</f>
        <v>17182.815988</v>
      </c>
      <c r="Y555" s="60" t="n">
        <f aca="false">Retainers!Y63*Utilisation!Y95+TM_Media!Y43*Utilisation!Y99</f>
        <v>17182.815988</v>
      </c>
      <c r="Z555" s="60" t="n">
        <f aca="false">Retainers!Z63*Utilisation!Z95+TM_Media!Z43*Utilisation!Z99</f>
        <v>17182.815988</v>
      </c>
      <c r="AA555" s="60" t="n">
        <f aca="false">Retainers!AA63*Utilisation!AA95+TM_Media!AA43*Utilisation!AA99</f>
        <v>17182.815988</v>
      </c>
      <c r="AB555" s="60" t="n">
        <f aca="false">Retainers!AB63*Utilisation!AB95+TM_Media!AB43*Utilisation!AB99</f>
        <v>17182.815988</v>
      </c>
    </row>
    <row r="556" customFormat="false" ht="15" hidden="false" customHeight="false" outlineLevel="0" collapsed="false">
      <c r="A556" s="28" t="s">
        <v>814</v>
      </c>
      <c r="B556" s="58" t="s">
        <v>805</v>
      </c>
      <c r="C556" s="59" t="n">
        <f aca="false">SUM(E556:P556)</f>
        <v>320222.5</v>
      </c>
      <c r="D556" s="59" t="n">
        <f aca="false">SUM(Q556:AB556)</f>
        <v>0</v>
      </c>
      <c r="E556" s="60" t="n">
        <f aca="false">Projects!E66*Utilisation!E97</f>
        <v>0</v>
      </c>
      <c r="F556" s="60" t="n">
        <f aca="false">Projects!F66*Utilisation!F97</f>
        <v>8119.54</v>
      </c>
      <c r="G556" s="60" t="n">
        <f aca="false">Projects!G66*Utilisation!G97</f>
        <v>24868.805</v>
      </c>
      <c r="H556" s="60" t="n">
        <f aca="false">Projects!H66*Utilisation!H97</f>
        <v>34008.715</v>
      </c>
      <c r="I556" s="60" t="n">
        <f aca="false">Projects!I66*Utilisation!I97</f>
        <v>49433.67</v>
      </c>
      <c r="J556" s="60" t="n">
        <f aca="false">Projects!J66*Utilisation!J97</f>
        <v>54730.91</v>
      </c>
      <c r="K556" s="60" t="n">
        <f aca="false">Projects!K66*Utilisation!K97</f>
        <v>51756.64</v>
      </c>
      <c r="L556" s="60" t="n">
        <f aca="false">Projects!L66*Utilisation!L97</f>
        <v>47078.135</v>
      </c>
      <c r="M556" s="60" t="n">
        <f aca="false">Projects!M66*Utilisation!M97</f>
        <v>36577.6923369566</v>
      </c>
      <c r="N556" s="60" t="n">
        <f aca="false">Projects!N66*Utilisation!N97</f>
        <v>13648.3926630434</v>
      </c>
      <c r="O556" s="60" t="n">
        <f aca="false">Projects!O66*Utilisation!O97</f>
        <v>0</v>
      </c>
      <c r="P556" s="60" t="n">
        <f aca="false">Projects!P66*Utilisation!P97</f>
        <v>0</v>
      </c>
      <c r="Q556" s="60" t="n">
        <f aca="false">Projects!Q66*Utilisation!Q97</f>
        <v>0</v>
      </c>
      <c r="R556" s="60" t="n">
        <f aca="false">Projects!R66*Utilisation!R97</f>
        <v>0</v>
      </c>
      <c r="S556" s="60" t="n">
        <f aca="false">Projects!S66*Utilisation!S97</f>
        <v>0</v>
      </c>
      <c r="T556" s="60" t="n">
        <f aca="false">Projects!T66*Utilisation!T97</f>
        <v>0</v>
      </c>
      <c r="U556" s="60" t="n">
        <f aca="false">Projects!U66*Utilisation!U97</f>
        <v>0</v>
      </c>
      <c r="V556" s="60" t="n">
        <f aca="false">Projects!V66*Utilisation!V97</f>
        <v>0</v>
      </c>
      <c r="W556" s="60" t="n">
        <f aca="false">Projects!W66*Utilisation!W97</f>
        <v>0</v>
      </c>
      <c r="X556" s="60" t="n">
        <f aca="false">Projects!X66*Utilisation!X97</f>
        <v>0</v>
      </c>
      <c r="Y556" s="60" t="n">
        <f aca="false">Projects!Y66*Utilisation!Y97</f>
        <v>0</v>
      </c>
      <c r="Z556" s="60" t="n">
        <f aca="false">Projects!Z66*Utilisation!Z97</f>
        <v>0</v>
      </c>
      <c r="AA556" s="60" t="n">
        <f aca="false">Projects!AA66*Utilisation!AA97</f>
        <v>0</v>
      </c>
      <c r="AB556" s="60" t="n">
        <f aca="false">Projects!AB66*Utilisation!AB97</f>
        <v>0</v>
      </c>
    </row>
    <row r="557" customFormat="false" ht="15" hidden="false" customHeight="false" outlineLevel="0" collapsed="false">
      <c r="A557" s="28" t="s">
        <v>815</v>
      </c>
      <c r="B557" s="58" t="s">
        <v>805</v>
      </c>
      <c r="C557" s="59" t="n">
        <f aca="false">SUM(E557:P557)</f>
        <v>334138.861875</v>
      </c>
      <c r="D557" s="59" t="n">
        <f aca="false">SUM(Q557:AB557)</f>
        <v>253457.227205</v>
      </c>
      <c r="E557" s="60" t="n">
        <f aca="false">Retainers!E73*Utilisation!E94+Projects!E211*Utilisation!E97</f>
        <v>25186.28</v>
      </c>
      <c r="F557" s="60" t="n">
        <f aca="false">Retainers!F73*Utilisation!F94+Projects!F211*Utilisation!F97</f>
        <v>24673.53</v>
      </c>
      <c r="G557" s="60" t="n">
        <f aca="false">Retainers!G73*Utilisation!G94+Projects!G211*Utilisation!G97</f>
        <v>25740.05</v>
      </c>
      <c r="H557" s="60" t="n">
        <f aca="false">Retainers!H73*Utilisation!H94+Projects!H211*Utilisation!H97</f>
        <v>23750.58</v>
      </c>
      <c r="I557" s="60" t="n">
        <f aca="false">Retainers!I73*Utilisation!I94+Projects!I211*Utilisation!I97</f>
        <v>24458.175</v>
      </c>
      <c r="J557" s="60" t="n">
        <f aca="false">Retainers!J73*Utilisation!J94+Projects!J211*Utilisation!J97</f>
        <v>23945.425</v>
      </c>
      <c r="K557" s="60" t="n">
        <f aca="false">Retainers!K73*Utilisation!K94+Projects!K211*Utilisation!K97</f>
        <v>25165.77</v>
      </c>
      <c r="L557" s="60" t="n">
        <f aca="false">Retainers!L73*Utilisation!L94+Projects!L211*Utilisation!L97</f>
        <v>24027.465</v>
      </c>
      <c r="M557" s="60" t="n">
        <f aca="false">Retainers!M73*Utilisation!M94+Projects!M211*Utilisation!M97</f>
        <v>23078.2365625</v>
      </c>
      <c r="N557" s="60" t="n">
        <f aca="false">Retainers!N73*Utilisation!N94+Projects!N211*Utilisation!N97</f>
        <v>31389.0959375</v>
      </c>
      <c r="O557" s="60" t="n">
        <f aca="false">Retainers!O73*Utilisation!O94+Projects!O211*Utilisation!O97</f>
        <v>41362.1271875</v>
      </c>
      <c r="P557" s="60" t="n">
        <f aca="false">Retainers!P73*Utilisation!P94+Projects!P211*Utilisation!P97</f>
        <v>41362.1271875</v>
      </c>
      <c r="Q557" s="60" t="n">
        <f aca="false">Retainers!Q73*Utilisation!Q94+Projects!Q211*Utilisation!Q97</f>
        <v>29044.45487125</v>
      </c>
      <c r="R557" s="60" t="n">
        <f aca="false">Retainers!R73*Utilisation!R94+Projects!R211*Utilisation!R97</f>
        <v>20401.16112125</v>
      </c>
      <c r="S557" s="60" t="n">
        <f aca="false">Retainers!S73*Utilisation!S94+Projects!S211*Utilisation!S97</f>
        <v>20401.16112125</v>
      </c>
      <c r="T557" s="60" t="n">
        <f aca="false">Retainers!T73*Utilisation!T94+Projects!T211*Utilisation!T97</f>
        <v>20401.16112125</v>
      </c>
      <c r="U557" s="60" t="n">
        <f aca="false">Retainers!U73*Utilisation!U94+Projects!U211*Utilisation!U97</f>
        <v>20401.16112125</v>
      </c>
      <c r="V557" s="60" t="n">
        <f aca="false">Retainers!V73*Utilisation!V94+Projects!V211*Utilisation!V97</f>
        <v>20401.16112125</v>
      </c>
      <c r="W557" s="60" t="n">
        <f aca="false">Retainers!W73*Utilisation!W94+Projects!W211*Utilisation!W97</f>
        <v>20401.16112125</v>
      </c>
      <c r="X557" s="60" t="n">
        <f aca="false">Retainers!X73*Utilisation!X94+Projects!X211*Utilisation!X97</f>
        <v>20401.16112125</v>
      </c>
      <c r="Y557" s="60" t="n">
        <f aca="false">Retainers!Y73*Utilisation!Y94+Projects!Y211*Utilisation!Y97</f>
        <v>20401.16112125</v>
      </c>
      <c r="Z557" s="60" t="n">
        <f aca="false">Retainers!Z73*Utilisation!Z94+Projects!Z211*Utilisation!Z97</f>
        <v>20401.16112125</v>
      </c>
      <c r="AA557" s="60" t="n">
        <f aca="false">Retainers!AA73*Utilisation!AA94+Projects!AA211*Utilisation!AA97</f>
        <v>20401.16112125</v>
      </c>
      <c r="AB557" s="60" t="n">
        <f aca="false">Retainers!AB73*Utilisation!AB94+Projects!AB211*Utilisation!AB97</f>
        <v>20401.16112125</v>
      </c>
    </row>
    <row r="558" customFormat="false" ht="15" hidden="false" customHeight="false" outlineLevel="0" collapsed="false">
      <c r="A558" s="28" t="s">
        <v>816</v>
      </c>
      <c r="B558" s="58" t="s">
        <v>805</v>
      </c>
      <c r="C558" s="59" t="n">
        <f aca="false">SUM(E558:P558)</f>
        <v>268821.846</v>
      </c>
      <c r="D558" s="59" t="n">
        <f aca="false">SUM(Q558:AB558)</f>
        <v>271990.957212</v>
      </c>
      <c r="E558" s="60" t="n">
        <f aca="false">Retainers!E83*Utilisation!E95+TM_Media!E46*Utilisation!E99</f>
        <v>22988.68</v>
      </c>
      <c r="F558" s="60" t="n">
        <f aca="false">Retainers!F83*Utilisation!F95+TM_Media!F46*Utilisation!F99</f>
        <v>22443.84</v>
      </c>
      <c r="G558" s="60" t="n">
        <f aca="false">Retainers!G83*Utilisation!G95+TM_Media!G46*Utilisation!G99</f>
        <v>21765.36</v>
      </c>
      <c r="H558" s="60" t="n">
        <f aca="false">Retainers!H83*Utilisation!H95+TM_Media!H46*Utilisation!H99</f>
        <v>21528.92</v>
      </c>
      <c r="I558" s="60" t="n">
        <f aca="false">Retainers!I83*Utilisation!I95+TM_Media!I46*Utilisation!I99</f>
        <v>22875.6</v>
      </c>
      <c r="J558" s="60" t="n">
        <f aca="false">Retainers!J83*Utilisation!J95+TM_Media!J46*Utilisation!J99</f>
        <v>23029.8</v>
      </c>
      <c r="K558" s="60" t="n">
        <f aca="false">Retainers!K83*Utilisation!K95+TM_Media!K46*Utilisation!K99</f>
        <v>23255.96</v>
      </c>
      <c r="L558" s="60" t="n">
        <f aca="false">Retainers!L83*Utilisation!L95+TM_Media!L46*Utilisation!L99</f>
        <v>22001.8</v>
      </c>
      <c r="M558" s="60" t="n">
        <f aca="false">Retainers!M83*Utilisation!M95+TM_Media!M46*Utilisation!M99</f>
        <v>22232.9715</v>
      </c>
      <c r="N558" s="60" t="n">
        <f aca="false">Retainers!N83*Utilisation!N95+TM_Media!N46*Utilisation!N99</f>
        <v>22232.9715</v>
      </c>
      <c r="O558" s="60" t="n">
        <f aca="false">Retainers!O83*Utilisation!O95+TM_Media!O46*Utilisation!O99</f>
        <v>22232.9715</v>
      </c>
      <c r="P558" s="60" t="n">
        <f aca="false">Retainers!P83*Utilisation!P95+TM_Media!P46*Utilisation!P99</f>
        <v>22232.9715</v>
      </c>
      <c r="Q558" s="60" t="n">
        <f aca="false">Retainers!Q83*Utilisation!Q95+TM_Media!Q46*Utilisation!Q99</f>
        <v>23122.29036</v>
      </c>
      <c r="R558" s="60" t="n">
        <f aca="false">Retainers!R83*Utilisation!R95+TM_Media!R46*Utilisation!R99</f>
        <v>23122.29036</v>
      </c>
      <c r="S558" s="60" t="n">
        <f aca="false">Retainers!S83*Utilisation!S95+TM_Media!S46*Utilisation!S99</f>
        <v>23122.29036</v>
      </c>
      <c r="T558" s="60" t="n">
        <f aca="false">Retainers!T83*Utilisation!T95+TM_Media!T46*Utilisation!T99</f>
        <v>23122.29036</v>
      </c>
      <c r="U558" s="60" t="n">
        <f aca="false">Retainers!U83*Utilisation!U95+TM_Media!U46*Utilisation!U99</f>
        <v>23122.29036</v>
      </c>
      <c r="V558" s="60" t="n">
        <f aca="false">Retainers!V83*Utilisation!V95+TM_Media!V46*Utilisation!V99</f>
        <v>23122.29036</v>
      </c>
      <c r="W558" s="60" t="n">
        <f aca="false">Retainers!W83*Utilisation!W95+TM_Media!W46*Utilisation!W99</f>
        <v>23122.29036</v>
      </c>
      <c r="X558" s="60" t="n">
        <f aca="false">Retainers!X83*Utilisation!X95+TM_Media!X46*Utilisation!X99</f>
        <v>23122.29036</v>
      </c>
      <c r="Y558" s="60" t="n">
        <f aca="false">Retainers!Y83*Utilisation!Y95+TM_Media!Y46*Utilisation!Y99</f>
        <v>23122.29036</v>
      </c>
      <c r="Z558" s="60" t="n">
        <f aca="false">Retainers!Z83*Utilisation!Z95+TM_Media!Z46*Utilisation!Z99</f>
        <v>21296.781324</v>
      </c>
      <c r="AA558" s="60" t="n">
        <f aca="false">Retainers!AA83*Utilisation!AA95+TM_Media!AA46*Utilisation!AA99</f>
        <v>21296.781324</v>
      </c>
      <c r="AB558" s="60" t="n">
        <f aca="false">Retainers!AB83*Utilisation!AB95+TM_Media!AB46*Utilisation!AB99</f>
        <v>21296.781324</v>
      </c>
    </row>
    <row r="559" customFormat="false" ht="15" hidden="false" customHeight="false" outlineLevel="0" collapsed="false">
      <c r="A559" s="28" t="s">
        <v>817</v>
      </c>
      <c r="B559" s="58" t="s">
        <v>805</v>
      </c>
      <c r="C559" s="59" t="n">
        <f aca="false">SUM(E559:P559)</f>
        <v>241171.176</v>
      </c>
      <c r="D559" s="59" t="n">
        <f aca="false">SUM(Q559:AB559)</f>
        <v>223452.02568</v>
      </c>
      <c r="E559" s="60" t="n">
        <f aca="false">Retainers!E93*Utilisation!E95+TM_Media!E52*Utilisation!E99</f>
        <v>20751.92</v>
      </c>
      <c r="F559" s="60" t="n">
        <f aca="false">Retainers!F93*Utilisation!F95+TM_Media!F52*Utilisation!F99</f>
        <v>20094</v>
      </c>
      <c r="G559" s="60" t="n">
        <f aca="false">Retainers!G93*Utilisation!G95+TM_Media!G52*Utilisation!G99</f>
        <v>20957.52</v>
      </c>
      <c r="H559" s="60" t="n">
        <f aca="false">Retainers!H93*Utilisation!H95+TM_Media!H52*Utilisation!H99</f>
        <v>19703.36</v>
      </c>
      <c r="I559" s="60" t="n">
        <f aca="false">Retainers!I93*Utilisation!I95+TM_Media!I52*Utilisation!I99</f>
        <v>19980.92</v>
      </c>
      <c r="J559" s="60" t="n">
        <f aca="false">Retainers!J93*Utilisation!J95+TM_Media!J52*Utilisation!J99</f>
        <v>19343.56</v>
      </c>
      <c r="K559" s="60" t="n">
        <f aca="false">Retainers!K93*Utilisation!K95+TM_Media!K52*Utilisation!K99</f>
        <v>20340.72</v>
      </c>
      <c r="L559" s="60" t="n">
        <f aca="false">Retainers!L93*Utilisation!L95+TM_Media!L52*Utilisation!L99</f>
        <v>20525.76</v>
      </c>
      <c r="M559" s="60" t="n">
        <f aca="false">Retainers!M93*Utilisation!M95+TM_Media!M52*Utilisation!M99</f>
        <v>19868.354</v>
      </c>
      <c r="N559" s="60" t="n">
        <f aca="false">Retainers!N93*Utilisation!N95+TM_Media!N52*Utilisation!N99</f>
        <v>19868.354</v>
      </c>
      <c r="O559" s="60" t="n">
        <f aca="false">Retainers!O93*Utilisation!O95+TM_Media!O52*Utilisation!O99</f>
        <v>19868.354</v>
      </c>
      <c r="P559" s="60" t="n">
        <f aca="false">Retainers!P93*Utilisation!P95+TM_Media!P52*Utilisation!P99</f>
        <v>19868.354</v>
      </c>
      <c r="Q559" s="60" t="n">
        <f aca="false">Retainers!Q93*Utilisation!Q95+TM_Media!Q52*Utilisation!Q99</f>
        <v>20663.08816</v>
      </c>
      <c r="R559" s="60" t="n">
        <f aca="false">Retainers!R93*Utilisation!R95+TM_Media!R52*Utilisation!R99</f>
        <v>20663.08816</v>
      </c>
      <c r="S559" s="60" t="n">
        <f aca="false">Retainers!S93*Utilisation!S95+TM_Media!S52*Utilisation!S99</f>
        <v>18212.584936</v>
      </c>
      <c r="T559" s="60" t="n">
        <f aca="false">Retainers!T93*Utilisation!T95+TM_Media!T52*Utilisation!T99</f>
        <v>18212.584936</v>
      </c>
      <c r="U559" s="60" t="n">
        <f aca="false">Retainers!U93*Utilisation!U95+TM_Media!U52*Utilisation!U99</f>
        <v>18212.584936</v>
      </c>
      <c r="V559" s="60" t="n">
        <f aca="false">Retainers!V93*Utilisation!V95+TM_Media!V52*Utilisation!V99</f>
        <v>18212.584936</v>
      </c>
      <c r="W559" s="60" t="n">
        <f aca="false">Retainers!W93*Utilisation!W95+TM_Media!W52*Utilisation!W99</f>
        <v>18212.584936</v>
      </c>
      <c r="X559" s="60" t="n">
        <f aca="false">Retainers!X93*Utilisation!X95+TM_Media!X52*Utilisation!X99</f>
        <v>18212.584936</v>
      </c>
      <c r="Y559" s="60" t="n">
        <f aca="false">Retainers!Y93*Utilisation!Y95+TM_Media!Y52*Utilisation!Y99</f>
        <v>18212.584936</v>
      </c>
      <c r="Z559" s="60" t="n">
        <f aca="false">Retainers!Z93*Utilisation!Z95+TM_Media!Z52*Utilisation!Z99</f>
        <v>18212.584936</v>
      </c>
      <c r="AA559" s="60" t="n">
        <f aca="false">Retainers!AA93*Utilisation!AA95+TM_Media!AA52*Utilisation!AA99</f>
        <v>18212.584936</v>
      </c>
      <c r="AB559" s="60" t="n">
        <f aca="false">Retainers!AB93*Utilisation!AB95+TM_Media!AB52*Utilisation!AB99</f>
        <v>18212.584936</v>
      </c>
    </row>
    <row r="560" customFormat="false" ht="15" hidden="false" customHeight="false" outlineLevel="0" collapsed="false">
      <c r="A560" s="28" t="s">
        <v>818</v>
      </c>
      <c r="B560" s="58" t="s">
        <v>805</v>
      </c>
      <c r="C560" s="59" t="n">
        <f aca="false">SUM(E560:P560)</f>
        <v>107464.5</v>
      </c>
      <c r="D560" s="59" t="n">
        <f aca="false">SUM(Q560:AB560)</f>
        <v>0</v>
      </c>
      <c r="E560" s="60" t="n">
        <f aca="false">Projects!E102*Utilisation!E97</f>
        <v>0</v>
      </c>
      <c r="F560" s="60" t="n">
        <f aca="false">Projects!F102*Utilisation!F97</f>
        <v>0</v>
      </c>
      <c r="G560" s="60" t="n">
        <f aca="false">Projects!G102*Utilisation!G97</f>
        <v>0</v>
      </c>
      <c r="H560" s="60" t="n">
        <f aca="false">Projects!H102*Utilisation!H97</f>
        <v>0</v>
      </c>
      <c r="I560" s="60" t="n">
        <f aca="false">Projects!I102*Utilisation!I97</f>
        <v>7674.485</v>
      </c>
      <c r="J560" s="60" t="n">
        <f aca="false">Projects!J102*Utilisation!J97</f>
        <v>19669.26</v>
      </c>
      <c r="K560" s="60" t="n">
        <f aca="false">Projects!K102*Utilisation!K97</f>
        <v>21503.755</v>
      </c>
      <c r="L560" s="60" t="n">
        <f aca="false">Projects!L102*Utilisation!L97</f>
        <v>29482.18</v>
      </c>
      <c r="M560" s="60" t="n">
        <f aca="false">Projects!M102*Utilisation!M97</f>
        <v>20810.5857142857</v>
      </c>
      <c r="N560" s="60" t="n">
        <f aca="false">Projects!N102*Utilisation!N97</f>
        <v>8324.2342857143</v>
      </c>
      <c r="O560" s="60" t="n">
        <f aca="false">Projects!O102*Utilisation!O97</f>
        <v>0</v>
      </c>
      <c r="P560" s="60" t="n">
        <f aca="false">Projects!P102*Utilisation!P97</f>
        <v>0</v>
      </c>
      <c r="Q560" s="60" t="n">
        <f aca="false">Projects!Q102*Utilisation!Q97</f>
        <v>0</v>
      </c>
      <c r="R560" s="60" t="n">
        <f aca="false">Projects!R102*Utilisation!R97</f>
        <v>0</v>
      </c>
      <c r="S560" s="60" t="n">
        <f aca="false">Projects!S102*Utilisation!S97</f>
        <v>0</v>
      </c>
      <c r="T560" s="60" t="n">
        <f aca="false">Projects!T102*Utilisation!T97</f>
        <v>0</v>
      </c>
      <c r="U560" s="60" t="n">
        <f aca="false">Projects!U102*Utilisation!U97</f>
        <v>0</v>
      </c>
      <c r="V560" s="60" t="n">
        <f aca="false">Projects!V102*Utilisation!V97</f>
        <v>0</v>
      </c>
      <c r="W560" s="60" t="n">
        <f aca="false">Projects!W102*Utilisation!W97</f>
        <v>0</v>
      </c>
      <c r="X560" s="60" t="n">
        <f aca="false">Projects!X102*Utilisation!X97</f>
        <v>0</v>
      </c>
      <c r="Y560" s="60" t="n">
        <f aca="false">Projects!Y102*Utilisation!Y97</f>
        <v>0</v>
      </c>
      <c r="Z560" s="60" t="n">
        <f aca="false">Projects!Z102*Utilisation!Z97</f>
        <v>0</v>
      </c>
      <c r="AA560" s="60" t="n">
        <f aca="false">Projects!AA102*Utilisation!AA97</f>
        <v>0</v>
      </c>
      <c r="AB560" s="60" t="n">
        <f aca="false">Projects!AB102*Utilisation!AB97</f>
        <v>0</v>
      </c>
    </row>
    <row r="561" customFormat="false" ht="15" hidden="false" customHeight="false" outlineLevel="0" collapsed="false">
      <c r="A561" s="28" t="s">
        <v>819</v>
      </c>
      <c r="B561" s="58" t="s">
        <v>805</v>
      </c>
      <c r="C561" s="59" t="n">
        <f aca="false">SUM(E561:P561)</f>
        <v>154294.5508125</v>
      </c>
      <c r="D561" s="59" t="n">
        <f aca="false">SUM(Q561:AB561)</f>
        <v>0</v>
      </c>
      <c r="E561" s="60" t="n">
        <f aca="false">Retainers!E103*Utilisation!E94</f>
        <v>17812.935</v>
      </c>
      <c r="F561" s="60" t="n">
        <f aca="false">Retainers!F103*Utilisation!F94</f>
        <v>17054.065</v>
      </c>
      <c r="G561" s="60" t="n">
        <f aca="false">Retainers!G103*Utilisation!G94</f>
        <v>17248.91</v>
      </c>
      <c r="H561" s="60" t="n">
        <f aca="false">Retainers!H103*Utilisation!H94</f>
        <v>17628.345</v>
      </c>
      <c r="I561" s="60" t="n">
        <f aca="false">Retainers!I103*Utilisation!I94</f>
        <v>17084.83</v>
      </c>
      <c r="J561" s="60" t="n">
        <f aca="false">Retainers!J103*Utilisation!J94</f>
        <v>16777.18</v>
      </c>
      <c r="K561" s="60" t="n">
        <f aca="false">Retainers!K103*Utilisation!K94</f>
        <v>16418.255</v>
      </c>
      <c r="L561" s="60" t="n">
        <f aca="false">Retainers!L103*Utilisation!L94</f>
        <v>17894.975</v>
      </c>
      <c r="M561" s="60" t="n">
        <f aca="false">Retainers!M103*Utilisation!M94</f>
        <v>16375.0558125</v>
      </c>
      <c r="N561" s="60" t="n">
        <f aca="false">Retainers!N103*Utilisation!N94</f>
        <v>0</v>
      </c>
      <c r="O561" s="60" t="n">
        <f aca="false">Retainers!O103*Utilisation!O94</f>
        <v>0</v>
      </c>
      <c r="P561" s="60" t="n">
        <f aca="false">Retainers!P103*Utilisation!P94</f>
        <v>0</v>
      </c>
      <c r="Q561" s="60" t="n">
        <f aca="false">Retainers!Q103*Utilisation!Q94</f>
        <v>0</v>
      </c>
      <c r="R561" s="60" t="n">
        <f aca="false">Retainers!R103*Utilisation!R94</f>
        <v>0</v>
      </c>
      <c r="S561" s="60" t="n">
        <f aca="false">Retainers!S103*Utilisation!S94</f>
        <v>0</v>
      </c>
      <c r="T561" s="60" t="n">
        <f aca="false">Retainers!T103*Utilisation!T94</f>
        <v>0</v>
      </c>
      <c r="U561" s="60" t="n">
        <f aca="false">Retainers!U103*Utilisation!U94</f>
        <v>0</v>
      </c>
      <c r="V561" s="60" t="n">
        <f aca="false">Retainers!V103*Utilisation!V94</f>
        <v>0</v>
      </c>
      <c r="W561" s="60" t="n">
        <f aca="false">Retainers!W103*Utilisation!W94</f>
        <v>0</v>
      </c>
      <c r="X561" s="60" t="n">
        <f aca="false">Retainers!X103*Utilisation!X94</f>
        <v>0</v>
      </c>
      <c r="Y561" s="60" t="n">
        <f aca="false">Retainers!Y103*Utilisation!Y94</f>
        <v>0</v>
      </c>
      <c r="Z561" s="60" t="n">
        <f aca="false">Retainers!Z103*Utilisation!Z94</f>
        <v>0</v>
      </c>
      <c r="AA561" s="60" t="n">
        <f aca="false">Retainers!AA103*Utilisation!AA94</f>
        <v>0</v>
      </c>
      <c r="AB561" s="60" t="n">
        <f aca="false">Retainers!AB103*Utilisation!AB94</f>
        <v>0</v>
      </c>
    </row>
    <row r="562" customFormat="false" ht="15" hidden="false" customHeight="false" outlineLevel="0" collapsed="false">
      <c r="A562" s="28" t="s">
        <v>820</v>
      </c>
      <c r="B562" s="58" t="s">
        <v>805</v>
      </c>
      <c r="C562" s="59" t="n">
        <f aca="false">SUM(E562:P562)</f>
        <v>119021.990506329</v>
      </c>
      <c r="D562" s="59" t="n">
        <f aca="false">SUM(Q562:AB562)</f>
        <v>123552</v>
      </c>
      <c r="E562" s="60" t="n">
        <f aca="false">Projects!E12*Utilisation!E97+TM_Media!E15*Utilisation!E98</f>
        <v>14480.57</v>
      </c>
      <c r="F562" s="60" t="n">
        <f aca="false">Projects!F12*Utilisation!F97+TM_Media!F15*Utilisation!F98</f>
        <v>5601.18</v>
      </c>
      <c r="G562" s="60" t="n">
        <f aca="false">Projects!G12*Utilisation!G97+TM_Media!G15*Utilisation!G98</f>
        <v>10582</v>
      </c>
      <c r="H562" s="60" t="n">
        <f aca="false">Projects!H12*Utilisation!H97+TM_Media!H15*Utilisation!H98</f>
        <v>10065</v>
      </c>
      <c r="I562" s="60" t="n">
        <f aca="false">Projects!I12*Utilisation!I97+TM_Media!I15*Utilisation!I98</f>
        <v>10989</v>
      </c>
      <c r="J562" s="60" t="n">
        <f aca="false">Projects!J12*Utilisation!J97+TM_Media!J15*Utilisation!J98</f>
        <v>9504</v>
      </c>
      <c r="K562" s="60" t="n">
        <f aca="false">Projects!K12*Utilisation!K97+TM_Media!K15*Utilisation!K98</f>
        <v>7095</v>
      </c>
      <c r="L562" s="60" t="n">
        <f aca="false">Projects!L12*Utilisation!L97+TM_Media!L15*Utilisation!L98</f>
        <v>9966</v>
      </c>
      <c r="M562" s="60" t="n">
        <f aca="false">Projects!M12*Utilisation!M97+TM_Media!M15*Utilisation!M98</f>
        <v>10800</v>
      </c>
      <c r="N562" s="60" t="n">
        <f aca="false">Projects!N12*Utilisation!N97+TM_Media!N15*Utilisation!N98</f>
        <v>11210.1265822785</v>
      </c>
      <c r="O562" s="60" t="n">
        <f aca="false">Projects!O12*Utilisation!O97+TM_Media!O15*Utilisation!O98</f>
        <v>10389.8734177215</v>
      </c>
      <c r="P562" s="60" t="n">
        <f aca="false">Projects!P12*Utilisation!P97+TM_Media!P15*Utilisation!P98</f>
        <v>8339.24050632911</v>
      </c>
      <c r="Q562" s="60" t="n">
        <f aca="false">Projects!Q12*Utilisation!Q97+TM_Media!Q15*Utilisation!Q98</f>
        <v>10805.4683544304</v>
      </c>
      <c r="R562" s="60" t="n">
        <f aca="false">Projects!R12*Utilisation!R97+TM_Media!R15*Utilisation!R98</f>
        <v>10378.9367088608</v>
      </c>
      <c r="S562" s="60" t="n">
        <f aca="false">Projects!S12*Utilisation!S97+TM_Media!S15*Utilisation!S98</f>
        <v>11232</v>
      </c>
      <c r="T562" s="60" t="n">
        <f aca="false">Projects!T12*Utilisation!T97+TM_Media!T15*Utilisation!T98</f>
        <v>10663.2911392405</v>
      </c>
      <c r="U562" s="60" t="n">
        <f aca="false">Projects!U12*Utilisation!U97+TM_Media!U15*Utilisation!U98</f>
        <v>10663.2911392405</v>
      </c>
      <c r="V562" s="60" t="n">
        <f aca="false">Projects!V12*Utilisation!V97+TM_Media!V15*Utilisation!V98</f>
        <v>9810.22784810127</v>
      </c>
      <c r="W562" s="60" t="n">
        <f aca="false">Projects!W12*Utilisation!W97+TM_Media!W15*Utilisation!W98</f>
        <v>7961.92405063291</v>
      </c>
      <c r="X562" s="60" t="n">
        <f aca="false">Projects!X12*Utilisation!X97+TM_Media!X15*Utilisation!X98</f>
        <v>9668.05063291139</v>
      </c>
      <c r="Y562" s="60" t="n">
        <f aca="false">Projects!Y12*Utilisation!Y97+TM_Media!Y15*Utilisation!Y98</f>
        <v>11232</v>
      </c>
      <c r="Z562" s="60" t="n">
        <f aca="false">Projects!Z12*Utilisation!Z97+TM_Media!Z15*Utilisation!Z98</f>
        <v>11658.5316455696</v>
      </c>
      <c r="AA562" s="60" t="n">
        <f aca="false">Projects!AA12*Utilisation!AA97+TM_Media!AA15*Utilisation!AA98</f>
        <v>10805.4683544304</v>
      </c>
      <c r="AB562" s="60" t="n">
        <f aca="false">Projects!AB12*Utilisation!AB97+TM_Media!AB15*Utilisation!AB98</f>
        <v>8672.81012658228</v>
      </c>
    </row>
    <row r="563" customFormat="false" ht="15" hidden="false" customHeight="false" outlineLevel="0" collapsed="false">
      <c r="A563" s="28" t="s">
        <v>821</v>
      </c>
      <c r="B563" s="58" t="s">
        <v>805</v>
      </c>
      <c r="C563" s="59" t="n">
        <f aca="false">SUM(E563:P563)</f>
        <v>160932.612</v>
      </c>
      <c r="D563" s="59" t="n">
        <f aca="false">SUM(Q563:AB563)</f>
        <v>159564.966288</v>
      </c>
      <c r="E563" s="60" t="n">
        <f aca="false">Retainers!E113*Utilisation!E95+TM_Media!E49*Utilisation!E99</f>
        <v>13811.2</v>
      </c>
      <c r="F563" s="60" t="n">
        <f aca="false">Retainers!F113*Utilisation!F95+TM_Media!F49*Utilisation!F99</f>
        <v>12916.84</v>
      </c>
      <c r="G563" s="60" t="n">
        <f aca="false">Retainers!G113*Utilisation!G95+TM_Media!G49*Utilisation!G99</f>
        <v>13451.4</v>
      </c>
      <c r="H563" s="60" t="n">
        <f aca="false">Retainers!H113*Utilisation!H95+TM_Media!H49*Utilisation!H99</f>
        <v>13893.44</v>
      </c>
      <c r="I563" s="60" t="n">
        <f aca="false">Retainers!I113*Utilisation!I95+TM_Media!I49*Utilisation!I99</f>
        <v>13348.6</v>
      </c>
      <c r="J563" s="60" t="n">
        <f aca="false">Retainers!J113*Utilisation!J95+TM_Media!J49*Utilisation!J99</f>
        <v>13646.72</v>
      </c>
      <c r="K563" s="60" t="n">
        <f aca="false">Retainers!K113*Utilisation!K95+TM_Media!K49*Utilisation!K99</f>
        <v>13009.36</v>
      </c>
      <c r="L563" s="60" t="n">
        <f aca="false">Retainers!L113*Utilisation!L95+TM_Media!L49*Utilisation!L99</f>
        <v>13677.56</v>
      </c>
      <c r="M563" s="60" t="n">
        <f aca="false">Retainers!M113*Utilisation!M95+TM_Media!M49*Utilisation!M99</f>
        <v>13294.373</v>
      </c>
      <c r="N563" s="60" t="n">
        <f aca="false">Retainers!N113*Utilisation!N95+TM_Media!N49*Utilisation!N99</f>
        <v>13294.373</v>
      </c>
      <c r="O563" s="60" t="n">
        <f aca="false">Retainers!O113*Utilisation!O95+TM_Media!O49*Utilisation!O99</f>
        <v>13294.373</v>
      </c>
      <c r="P563" s="60" t="n">
        <f aca="false">Retainers!P113*Utilisation!P95+TM_Media!P49*Utilisation!P99</f>
        <v>13294.373</v>
      </c>
      <c r="Q563" s="60" t="n">
        <f aca="false">Retainers!Q113*Utilisation!Q95+TM_Media!Q49*Utilisation!Q99</f>
        <v>13297.080524</v>
      </c>
      <c r="R563" s="60" t="n">
        <f aca="false">Retainers!R113*Utilisation!R95+TM_Media!R49*Utilisation!R99</f>
        <v>13297.080524</v>
      </c>
      <c r="S563" s="60" t="n">
        <f aca="false">Retainers!S113*Utilisation!S95+TM_Media!S49*Utilisation!S99</f>
        <v>13297.080524</v>
      </c>
      <c r="T563" s="60" t="n">
        <f aca="false">Retainers!T113*Utilisation!T95+TM_Media!T49*Utilisation!T99</f>
        <v>13297.080524</v>
      </c>
      <c r="U563" s="60" t="n">
        <f aca="false">Retainers!U113*Utilisation!U95+TM_Media!U49*Utilisation!U99</f>
        <v>13297.080524</v>
      </c>
      <c r="V563" s="60" t="n">
        <f aca="false">Retainers!V113*Utilisation!V95+TM_Media!V49*Utilisation!V99</f>
        <v>13297.080524</v>
      </c>
      <c r="W563" s="60" t="n">
        <f aca="false">Retainers!W113*Utilisation!W95+TM_Media!W49*Utilisation!W99</f>
        <v>13297.080524</v>
      </c>
      <c r="X563" s="60" t="n">
        <f aca="false">Retainers!X113*Utilisation!X95+TM_Media!X49*Utilisation!X99</f>
        <v>13297.080524</v>
      </c>
      <c r="Y563" s="60" t="n">
        <f aca="false">Retainers!Y113*Utilisation!Y95+TM_Media!Y49*Utilisation!Y99</f>
        <v>13297.080524</v>
      </c>
      <c r="Z563" s="60" t="n">
        <f aca="false">Retainers!Z113*Utilisation!Z95+TM_Media!Z49*Utilisation!Z99</f>
        <v>13297.080524</v>
      </c>
      <c r="AA563" s="60" t="n">
        <f aca="false">Retainers!AA113*Utilisation!AA95+TM_Media!AA49*Utilisation!AA99</f>
        <v>13297.080524</v>
      </c>
      <c r="AB563" s="60" t="n">
        <f aca="false">Retainers!AB113*Utilisation!AB95+TM_Media!AB49*Utilisation!AB99</f>
        <v>13297.080524</v>
      </c>
    </row>
    <row r="564" customFormat="false" ht="15" hidden="false" customHeight="false" outlineLevel="0" collapsed="false">
      <c r="A564" s="28" t="s">
        <v>822</v>
      </c>
      <c r="B564" s="58" t="s">
        <v>805</v>
      </c>
      <c r="C564" s="59" t="n">
        <f aca="false">SUM(E564:P564)</f>
        <v>157036.987341772</v>
      </c>
      <c r="D564" s="59" t="n">
        <f aca="false">SUM(Q564:AB564)</f>
        <v>164736</v>
      </c>
      <c r="E564" s="60" t="n">
        <f aca="false">TM_Media!E27*Utilisation!E98</f>
        <v>12749</v>
      </c>
      <c r="F564" s="60" t="n">
        <f aca="false">TM_Media!F27*Utilisation!F98</f>
        <v>12067</v>
      </c>
      <c r="G564" s="60" t="n">
        <f aca="false">TM_Media!G27*Utilisation!G98</f>
        <v>14707</v>
      </c>
      <c r="H564" s="60" t="n">
        <f aca="false">TM_Media!H27*Utilisation!H98</f>
        <v>15950</v>
      </c>
      <c r="I564" s="60" t="n">
        <f aca="false">TM_Media!I27*Utilisation!I98</f>
        <v>12474</v>
      </c>
      <c r="J564" s="60" t="n">
        <f aca="false">TM_Media!J27*Utilisation!J98</f>
        <v>13343</v>
      </c>
      <c r="K564" s="60" t="n">
        <f aca="false">TM_Media!K27*Utilisation!K98</f>
        <v>10538</v>
      </c>
      <c r="L564" s="60" t="n">
        <f aca="false">TM_Media!L27*Utilisation!L98</f>
        <v>10890</v>
      </c>
      <c r="M564" s="60" t="n">
        <f aca="false">TM_Media!M27*Utilisation!M98</f>
        <v>14400</v>
      </c>
      <c r="N564" s="60" t="n">
        <f aca="false">TM_Media!N27*Utilisation!N98</f>
        <v>14946.835443038</v>
      </c>
      <c r="O564" s="60" t="n">
        <f aca="false">TM_Media!O27*Utilisation!O98</f>
        <v>13853.164556962</v>
      </c>
      <c r="P564" s="60" t="n">
        <f aca="false">TM_Media!P27*Utilisation!P98</f>
        <v>11118.9873417722</v>
      </c>
      <c r="Q564" s="60" t="n">
        <f aca="false">TM_Media!Q27*Utilisation!Q98</f>
        <v>14407.2911392405</v>
      </c>
      <c r="R564" s="60" t="n">
        <f aca="false">TM_Media!R27*Utilisation!R98</f>
        <v>13838.582278481</v>
      </c>
      <c r="S564" s="60" t="n">
        <f aca="false">TM_Media!S27*Utilisation!S98</f>
        <v>14976</v>
      </c>
      <c r="T564" s="60" t="n">
        <f aca="false">TM_Media!T27*Utilisation!T98</f>
        <v>14217.7215189873</v>
      </c>
      <c r="U564" s="60" t="n">
        <f aca="false">TM_Media!U27*Utilisation!U98</f>
        <v>14217.7215189873</v>
      </c>
      <c r="V564" s="60" t="n">
        <f aca="false">TM_Media!V27*Utilisation!V98</f>
        <v>13080.3037974684</v>
      </c>
      <c r="W564" s="60" t="n">
        <f aca="false">TM_Media!W27*Utilisation!W98</f>
        <v>10615.8987341772</v>
      </c>
      <c r="X564" s="60" t="n">
        <f aca="false">TM_Media!X27*Utilisation!X98</f>
        <v>12890.7341772152</v>
      </c>
      <c r="Y564" s="60" t="n">
        <f aca="false">TM_Media!Y27*Utilisation!Y98</f>
        <v>14976</v>
      </c>
      <c r="Z564" s="60" t="n">
        <f aca="false">TM_Media!Z27*Utilisation!Z98</f>
        <v>15544.7088607595</v>
      </c>
      <c r="AA564" s="60" t="n">
        <f aca="false">TM_Media!AA27*Utilisation!AA98</f>
        <v>14407.2911392405</v>
      </c>
      <c r="AB564" s="60" t="n">
        <f aca="false">TM_Media!AB27*Utilisation!AB98</f>
        <v>11563.746835443</v>
      </c>
    </row>
    <row r="565" customFormat="false" ht="15" hidden="false" customHeight="false" outlineLevel="0" collapsed="false">
      <c r="A565" s="28" t="s">
        <v>823</v>
      </c>
      <c r="B565" s="58" t="s">
        <v>805</v>
      </c>
      <c r="C565" s="59" t="n">
        <f aca="false">SUM(E565:P565)</f>
        <v>21106.9444444444</v>
      </c>
      <c r="D565" s="59" t="n">
        <f aca="false">SUM(Q565:AB565)</f>
        <v>151459.001777778</v>
      </c>
      <c r="E565" s="60" t="n">
        <f aca="false">Retainers!E123*Utilisation!E96+Projects!E194*Utilisation!E97</f>
        <v>0</v>
      </c>
      <c r="F565" s="60" t="n">
        <f aca="false">Retainers!F123*Utilisation!F96+Projects!F194*Utilisation!F97</f>
        <v>0</v>
      </c>
      <c r="G565" s="60" t="n">
        <f aca="false">Retainers!G123*Utilisation!G96+Projects!G194*Utilisation!G97</f>
        <v>0</v>
      </c>
      <c r="H565" s="60" t="n">
        <f aca="false">Retainers!H123*Utilisation!H96+Projects!H194*Utilisation!H97</f>
        <v>0</v>
      </c>
      <c r="I565" s="60" t="n">
        <f aca="false">Retainers!I123*Utilisation!I96+Projects!I194*Utilisation!I97</f>
        <v>0</v>
      </c>
      <c r="J565" s="60" t="n">
        <f aca="false">Retainers!J123*Utilisation!J96+Projects!J194*Utilisation!J97</f>
        <v>0</v>
      </c>
      <c r="K565" s="60" t="n">
        <f aca="false">Retainers!K123*Utilisation!K96+Projects!K194*Utilisation!K97</f>
        <v>0</v>
      </c>
      <c r="L565" s="60" t="n">
        <f aca="false">Retainers!L123*Utilisation!L96+Projects!L194*Utilisation!L97</f>
        <v>0</v>
      </c>
      <c r="M565" s="60" t="n">
        <f aca="false">Retainers!M123*Utilisation!M96+Projects!M194*Utilisation!M97</f>
        <v>0</v>
      </c>
      <c r="N565" s="60" t="n">
        <f aca="false">Retainers!N123*Utilisation!N96+Projects!N194*Utilisation!N97</f>
        <v>0</v>
      </c>
      <c r="O565" s="60" t="n">
        <f aca="false">Retainers!O123*Utilisation!O96+Projects!O194*Utilisation!O97</f>
        <v>6030.55555555556</v>
      </c>
      <c r="P565" s="60" t="n">
        <f aca="false">Retainers!P123*Utilisation!P96+Projects!P194*Utilisation!P97</f>
        <v>15076.3888888889</v>
      </c>
      <c r="Q565" s="60" t="n">
        <f aca="false">Retainers!Q123*Utilisation!Q96+Projects!Q194*Utilisation!Q97</f>
        <v>27778.3797777778</v>
      </c>
      <c r="R565" s="60" t="n">
        <f aca="false">Retainers!R123*Utilisation!R96+Projects!R194*Utilisation!R97</f>
        <v>27778.3797777778</v>
      </c>
      <c r="S565" s="60" t="n">
        <f aca="false">Retainers!S123*Utilisation!S96+Projects!S194*Utilisation!S97</f>
        <v>23074.5464444444</v>
      </c>
      <c r="T565" s="60" t="n">
        <f aca="false">Retainers!T123*Utilisation!T96+Projects!T194*Utilisation!T97</f>
        <v>13666.8797777778</v>
      </c>
      <c r="U565" s="60" t="n">
        <f aca="false">Retainers!U123*Utilisation!U96+Projects!U194*Utilisation!U97</f>
        <v>7395.102</v>
      </c>
      <c r="V565" s="60" t="n">
        <f aca="false">Retainers!V123*Utilisation!V96+Projects!V194*Utilisation!V97</f>
        <v>7395.102</v>
      </c>
      <c r="W565" s="60" t="n">
        <f aca="false">Retainers!W123*Utilisation!W96+Projects!W194*Utilisation!W97</f>
        <v>7395.102</v>
      </c>
      <c r="X565" s="60" t="n">
        <f aca="false">Retainers!X123*Utilisation!X96+Projects!X194*Utilisation!X97</f>
        <v>7395.102</v>
      </c>
      <c r="Y565" s="60" t="n">
        <f aca="false">Retainers!Y123*Utilisation!Y96+Projects!Y194*Utilisation!Y97</f>
        <v>7395.102</v>
      </c>
      <c r="Z565" s="60" t="n">
        <f aca="false">Retainers!Z123*Utilisation!Z96+Projects!Z194*Utilisation!Z97</f>
        <v>7395.102</v>
      </c>
      <c r="AA565" s="60" t="n">
        <f aca="false">Retainers!AA123*Utilisation!AA96+Projects!AA194*Utilisation!AA97</f>
        <v>7395.102</v>
      </c>
      <c r="AB565" s="60" t="n">
        <f aca="false">Retainers!AB123*Utilisation!AB96+Projects!AB194*Utilisation!AB97</f>
        <v>7395.102</v>
      </c>
    </row>
    <row r="566" customFormat="false" ht="15" hidden="false" customHeight="false" outlineLevel="0" collapsed="false">
      <c r="A566" s="28" t="s">
        <v>824</v>
      </c>
      <c r="B566" s="58" t="s">
        <v>805</v>
      </c>
      <c r="C566" s="59" t="n">
        <f aca="false">SUM(E566:P566)</f>
        <v>0</v>
      </c>
      <c r="D566" s="59" t="n">
        <f aca="false">SUM(Q566:AB566)</f>
        <v>164220.3394</v>
      </c>
      <c r="E566" s="60" t="n">
        <f aca="false">Retainers!E153*Utilisation!E94+Projects!E177*Utilisation!E97</f>
        <v>0</v>
      </c>
      <c r="F566" s="60" t="n">
        <f aca="false">Retainers!F153*Utilisation!F94+Projects!F177*Utilisation!F97</f>
        <v>0</v>
      </c>
      <c r="G566" s="60" t="n">
        <f aca="false">Retainers!G153*Utilisation!G94+Projects!G177*Utilisation!G97</f>
        <v>0</v>
      </c>
      <c r="H566" s="60" t="n">
        <f aca="false">Retainers!H153*Utilisation!H94+Projects!H177*Utilisation!H97</f>
        <v>0</v>
      </c>
      <c r="I566" s="60" t="n">
        <f aca="false">Retainers!I153*Utilisation!I94+Projects!I177*Utilisation!I97</f>
        <v>0</v>
      </c>
      <c r="J566" s="60" t="n">
        <f aca="false">Retainers!J153*Utilisation!J94+Projects!J177*Utilisation!J97</f>
        <v>0</v>
      </c>
      <c r="K566" s="60" t="n">
        <f aca="false">Retainers!K153*Utilisation!K94+Projects!K177*Utilisation!K97</f>
        <v>0</v>
      </c>
      <c r="L566" s="60" t="n">
        <f aca="false">Retainers!L153*Utilisation!L94+Projects!L177*Utilisation!L97</f>
        <v>0</v>
      </c>
      <c r="M566" s="60" t="n">
        <f aca="false">Retainers!M153*Utilisation!M94+Projects!M177*Utilisation!M97</f>
        <v>0</v>
      </c>
      <c r="N566" s="60" t="n">
        <f aca="false">Retainers!N153*Utilisation!N94+Projects!N177*Utilisation!N97</f>
        <v>0</v>
      </c>
      <c r="O566" s="60" t="n">
        <f aca="false">Retainers!O153*Utilisation!O94+Projects!O177*Utilisation!O97</f>
        <v>0</v>
      </c>
      <c r="P566" s="60" t="n">
        <f aca="false">Retainers!P153*Utilisation!P94+Projects!P177*Utilisation!P97</f>
        <v>0</v>
      </c>
      <c r="Q566" s="60" t="n">
        <f aca="false">Retainers!Q153*Utilisation!Q94+Projects!Q177*Utilisation!Q97</f>
        <v>0</v>
      </c>
      <c r="R566" s="60" t="n">
        <f aca="false">Retainers!R153*Utilisation!R94+Projects!R177*Utilisation!R97</f>
        <v>5753.21329446064</v>
      </c>
      <c r="S566" s="60" t="n">
        <f aca="false">Retainers!S153*Utilisation!S94+Projects!S177*Utilisation!S97</f>
        <v>14837.2342857143</v>
      </c>
      <c r="T566" s="60" t="n">
        <f aca="false">Retainers!T153*Utilisation!T94+Projects!T177*Utilisation!T97</f>
        <v>20287.6468804665</v>
      </c>
      <c r="U566" s="60" t="n">
        <f aca="false">Retainers!U153*Utilisation!U94+Projects!U177*Utilisation!U97</f>
        <v>22104.4510787172</v>
      </c>
      <c r="V566" s="60" t="n">
        <f aca="false">Retainers!V153*Utilisation!V94+Projects!V177*Utilisation!V97</f>
        <v>28910.4610804665</v>
      </c>
      <c r="W566" s="60" t="n">
        <f aca="false">Retainers!W153*Utilisation!W94+Projects!W177*Utilisation!W97</f>
        <v>23460.0484857143</v>
      </c>
      <c r="X566" s="60" t="n">
        <f aca="false">Retainers!X153*Utilisation!X94+Projects!X177*Utilisation!X97</f>
        <v>14376.0274944607</v>
      </c>
      <c r="Y566" s="60" t="n">
        <f aca="false">Retainers!Y153*Utilisation!Y94+Projects!Y177*Utilisation!Y97</f>
        <v>8622.8142</v>
      </c>
      <c r="Z566" s="60" t="n">
        <f aca="false">Retainers!Z153*Utilisation!Z94+Projects!Z177*Utilisation!Z97</f>
        <v>8622.8142</v>
      </c>
      <c r="AA566" s="60" t="n">
        <f aca="false">Retainers!AA153*Utilisation!AA94+Projects!AA177*Utilisation!AA97</f>
        <v>8622.8142</v>
      </c>
      <c r="AB566" s="60" t="n">
        <f aca="false">Retainers!AB153*Utilisation!AB94+Projects!AB177*Utilisation!AB97</f>
        <v>8622.8142</v>
      </c>
    </row>
    <row r="567" customFormat="false" ht="15" hidden="false" customHeight="false" outlineLevel="0" collapsed="false">
      <c r="A567" s="28" t="s">
        <v>825</v>
      </c>
      <c r="B567" s="58" t="s">
        <v>805</v>
      </c>
      <c r="C567" s="59" t="n">
        <f aca="false">SUM(E567:P567)</f>
        <v>0</v>
      </c>
      <c r="D567" s="59" t="n">
        <f aca="false">SUM(Q567:AB567)</f>
        <v>89921.0312</v>
      </c>
      <c r="E567" s="60" t="n">
        <f aca="false">Retainers!E143*Utilisation!E94+Projects!E228*Utilisation!E97</f>
        <v>0</v>
      </c>
      <c r="F567" s="60" t="n">
        <f aca="false">Retainers!F143*Utilisation!F94+Projects!F228*Utilisation!F97</f>
        <v>0</v>
      </c>
      <c r="G567" s="60" t="n">
        <f aca="false">Retainers!G143*Utilisation!G94+Projects!G228*Utilisation!G97</f>
        <v>0</v>
      </c>
      <c r="H567" s="60" t="n">
        <f aca="false">Retainers!H143*Utilisation!H94+Projects!H228*Utilisation!H97</f>
        <v>0</v>
      </c>
      <c r="I567" s="60" t="n">
        <f aca="false">Retainers!I143*Utilisation!I94+Projects!I228*Utilisation!I97</f>
        <v>0</v>
      </c>
      <c r="J567" s="60" t="n">
        <f aca="false">Retainers!J143*Utilisation!J94+Projects!J228*Utilisation!J97</f>
        <v>0</v>
      </c>
      <c r="K567" s="60" t="n">
        <f aca="false">Retainers!K143*Utilisation!K94+Projects!K228*Utilisation!K97</f>
        <v>0</v>
      </c>
      <c r="L567" s="60" t="n">
        <f aca="false">Retainers!L143*Utilisation!L94+Projects!L228*Utilisation!L97</f>
        <v>0</v>
      </c>
      <c r="M567" s="60" t="n">
        <f aca="false">Retainers!M143*Utilisation!M94+Projects!M228*Utilisation!M97</f>
        <v>0</v>
      </c>
      <c r="N567" s="60" t="n">
        <f aca="false">Retainers!N143*Utilisation!N94+Projects!N228*Utilisation!N97</f>
        <v>0</v>
      </c>
      <c r="O567" s="60" t="n">
        <f aca="false">Retainers!O143*Utilisation!O94+Projects!O228*Utilisation!O97</f>
        <v>0</v>
      </c>
      <c r="P567" s="60" t="n">
        <f aca="false">Retainers!P143*Utilisation!P94+Projects!P228*Utilisation!P97</f>
        <v>0</v>
      </c>
      <c r="Q567" s="60" t="n">
        <f aca="false">Retainers!Q143*Utilisation!Q94+Projects!Q228*Utilisation!Q97</f>
        <v>0</v>
      </c>
      <c r="R567" s="60" t="n">
        <f aca="false">Retainers!R143*Utilisation!R94+Projects!R228*Utilisation!R97</f>
        <v>0</v>
      </c>
      <c r="S567" s="60" t="n">
        <f aca="false">Retainers!S143*Utilisation!S94+Projects!S228*Utilisation!S97</f>
        <v>3219.51259259259</v>
      </c>
      <c r="T567" s="60" t="n">
        <f aca="false">Retainers!T143*Utilisation!T94+Projects!T228*Utilisation!T97</f>
        <v>13210.7382814815</v>
      </c>
      <c r="U567" s="60" t="n">
        <f aca="false">Retainers!U143*Utilisation!U94+Projects!U228*Utilisation!U97</f>
        <v>15625.3727259259</v>
      </c>
      <c r="V567" s="60" t="n">
        <f aca="false">Retainers!V143*Utilisation!V94+Projects!V228*Utilisation!V97</f>
        <v>15625.3727259259</v>
      </c>
      <c r="W567" s="60" t="n">
        <f aca="false">Retainers!W143*Utilisation!W94+Projects!W228*Utilisation!W97</f>
        <v>13210.7382814815</v>
      </c>
      <c r="X567" s="60" t="n">
        <f aca="false">Retainers!X143*Utilisation!X94+Projects!X228*Utilisation!X97</f>
        <v>8381.4693925926</v>
      </c>
      <c r="Y567" s="60" t="n">
        <f aca="false">Retainers!Y143*Utilisation!Y94+Projects!Y228*Utilisation!Y97</f>
        <v>5161.9568</v>
      </c>
      <c r="Z567" s="60" t="n">
        <f aca="false">Retainers!Z143*Utilisation!Z94+Projects!Z228*Utilisation!Z97</f>
        <v>5161.9568</v>
      </c>
      <c r="AA567" s="60" t="n">
        <f aca="false">Retainers!AA143*Utilisation!AA94+Projects!AA228*Utilisation!AA97</f>
        <v>5161.9568</v>
      </c>
      <c r="AB567" s="60" t="n">
        <f aca="false">Retainers!AB143*Utilisation!AB94+Projects!AB228*Utilisation!AB97</f>
        <v>5161.9568</v>
      </c>
    </row>
    <row r="568" customFormat="false" ht="15" hidden="false" customHeight="false" outlineLevel="0" collapsed="false">
      <c r="A568" s="28" t="s">
        <v>826</v>
      </c>
      <c r="B568" s="58" t="s">
        <v>805</v>
      </c>
      <c r="C568" s="59" t="n">
        <f aca="false">SUM(E568:P568)</f>
        <v>0</v>
      </c>
      <c r="D568" s="59" t="n">
        <f aca="false">SUM(Q568:AB568)</f>
        <v>805127.68128</v>
      </c>
      <c r="E568" s="60" t="n">
        <f aca="false">Projects!E245*Utilisation!E97+Projects!E262*Utilisation!E97+Projects!E279*Utilisation!E97+Projects!E296*Utilisation!E97</f>
        <v>0</v>
      </c>
      <c r="F568" s="60" t="n">
        <f aca="false">Projects!F245*Utilisation!F97+Projects!F262*Utilisation!F97+Projects!F279*Utilisation!F97+Projects!F296*Utilisation!F97</f>
        <v>0</v>
      </c>
      <c r="G568" s="60" t="n">
        <f aca="false">Projects!G245*Utilisation!G97+Projects!G262*Utilisation!G97+Projects!G279*Utilisation!G97+Projects!G296*Utilisation!G97</f>
        <v>0</v>
      </c>
      <c r="H568" s="60" t="n">
        <f aca="false">Projects!H245*Utilisation!H97+Projects!H262*Utilisation!H97+Projects!H279*Utilisation!H97+Projects!H296*Utilisation!H97</f>
        <v>0</v>
      </c>
      <c r="I568" s="60" t="n">
        <f aca="false">Projects!I245*Utilisation!I97+Projects!I262*Utilisation!I97+Projects!I279*Utilisation!I97+Projects!I296*Utilisation!I97</f>
        <v>0</v>
      </c>
      <c r="J568" s="60" t="n">
        <f aca="false">Projects!J245*Utilisation!J97+Projects!J262*Utilisation!J97+Projects!J279*Utilisation!J97+Projects!J296*Utilisation!J97</f>
        <v>0</v>
      </c>
      <c r="K568" s="60" t="n">
        <f aca="false">Projects!K245*Utilisation!K97+Projects!K262*Utilisation!K97+Projects!K279*Utilisation!K97+Projects!K296*Utilisation!K97</f>
        <v>0</v>
      </c>
      <c r="L568" s="60" t="n">
        <f aca="false">Projects!L245*Utilisation!L97+Projects!L262*Utilisation!L97+Projects!L279*Utilisation!L97+Projects!L296*Utilisation!L97</f>
        <v>0</v>
      </c>
      <c r="M568" s="60" t="n">
        <f aca="false">Projects!M245*Utilisation!M97+Projects!M262*Utilisation!M97+Projects!M279*Utilisation!M97+Projects!M296*Utilisation!M97</f>
        <v>0</v>
      </c>
      <c r="N568" s="60" t="n">
        <f aca="false">Projects!N245*Utilisation!N97+Projects!N262*Utilisation!N97+Projects!N279*Utilisation!N97+Projects!N296*Utilisation!N97</f>
        <v>0</v>
      </c>
      <c r="O568" s="60" t="n">
        <f aca="false">Projects!O245*Utilisation!O97+Projects!O262*Utilisation!O97+Projects!O279*Utilisation!O97+Projects!O296*Utilisation!O97</f>
        <v>0</v>
      </c>
      <c r="P568" s="60" t="n">
        <f aca="false">Projects!P245*Utilisation!P97+Projects!P262*Utilisation!P97+Projects!P279*Utilisation!P97+Projects!P296*Utilisation!P97</f>
        <v>0</v>
      </c>
      <c r="Q568" s="60" t="n">
        <f aca="false">Projects!Q245*Utilisation!Q97+Projects!Q262*Utilisation!Q97+Projects!Q279*Utilisation!Q97+Projects!Q296*Utilisation!Q97</f>
        <v>22953.20144</v>
      </c>
      <c r="R568" s="60" t="n">
        <f aca="false">Projects!R245*Utilisation!R97+Projects!R262*Utilisation!R97+Projects!R279*Utilisation!R97+Projects!R296*Utilisation!R97</f>
        <v>54734.55728</v>
      </c>
      <c r="S568" s="60" t="n">
        <f aca="false">Projects!S245*Utilisation!S97+Projects!S262*Utilisation!S97+Projects!S279*Utilisation!S97+Projects!S296*Utilisation!S97</f>
        <v>65328.34256</v>
      </c>
      <c r="T568" s="60" t="n">
        <f aca="false">Projects!T245*Utilisation!T97+Projects!T262*Utilisation!T97+Projects!T279*Utilisation!T97+Projects!T296*Utilisation!T97</f>
        <v>77687.75872</v>
      </c>
      <c r="U568" s="60" t="n">
        <f aca="false">Projects!U245*Utilisation!U97+Projects!U262*Utilisation!U97+Projects!U279*Utilisation!U97+Projects!U296*Utilisation!U97</f>
        <v>77687.75872</v>
      </c>
      <c r="V568" s="60" t="n">
        <f aca="false">Projects!V245*Utilisation!V97+Projects!V262*Utilisation!V97+Projects!V279*Utilisation!V97+Projects!V296*Utilisation!V97</f>
        <v>65328.34256</v>
      </c>
      <c r="W568" s="60" t="n">
        <f aca="false">Projects!W245*Utilisation!W97+Projects!W262*Utilisation!W97+Projects!W279*Utilisation!W97+Projects!W296*Utilisation!W97</f>
        <v>77687.75872</v>
      </c>
      <c r="X568" s="60" t="n">
        <f aca="false">Projects!X245*Utilisation!X97+Projects!X262*Utilisation!X97+Projects!X279*Utilisation!X97+Projects!X296*Utilisation!X97</f>
        <v>77687.75872</v>
      </c>
      <c r="Y568" s="60" t="n">
        <f aca="false">Projects!Y245*Utilisation!Y97+Projects!Y262*Utilisation!Y97+Projects!Y279*Utilisation!Y97+Projects!Y296*Utilisation!Y97</f>
        <v>65328.34256</v>
      </c>
      <c r="Z568" s="60" t="n">
        <f aca="false">Projects!Z245*Utilisation!Z97+Projects!Z262*Utilisation!Z97+Projects!Z279*Utilisation!Z97+Projects!Z296*Utilisation!Z97</f>
        <v>77687.75872</v>
      </c>
      <c r="AA568" s="60" t="n">
        <f aca="false">Projects!AA245*Utilisation!AA97+Projects!AA262*Utilisation!AA97+Projects!AA279*Utilisation!AA97+Projects!AA296*Utilisation!AA97</f>
        <v>77687.75872</v>
      </c>
      <c r="AB568" s="60" t="n">
        <f aca="false">Projects!AB245*Utilisation!AB97+Projects!AB262*Utilisation!AB97+Projects!AB279*Utilisation!AB97+Projects!AB296*Utilisation!AB97</f>
        <v>65328.34256</v>
      </c>
    </row>
    <row r="569" customFormat="false" ht="15" hidden="false" customHeight="false" outlineLevel="0" collapsed="false">
      <c r="A569" s="28" t="s">
        <v>827</v>
      </c>
      <c r="B569" s="58" t="s">
        <v>49</v>
      </c>
      <c r="C569" s="66" t="n">
        <f aca="false">SUM(E569:P569)</f>
        <v>706.455</v>
      </c>
      <c r="D569" s="66" t="n">
        <f aca="false">SUM(Q569:AB569)</f>
        <v>586.964999999999</v>
      </c>
      <c r="E569" s="67" t="n">
        <f aca="false">Retainers!E14+Retainers!E134</f>
        <v>84.8</v>
      </c>
      <c r="F569" s="67" t="n">
        <f aca="false">Retainers!F14+Retainers!F134</f>
        <v>66.4</v>
      </c>
      <c r="G569" s="67" t="n">
        <f aca="false">Retainers!G14+Retainers!G134</f>
        <v>78.5</v>
      </c>
      <c r="H569" s="67" t="n">
        <f aca="false">Retainers!H14+Retainers!H134</f>
        <v>56.3</v>
      </c>
      <c r="I569" s="67" t="n">
        <f aca="false">Retainers!I14+Retainers!I134</f>
        <v>53.1</v>
      </c>
      <c r="J569" s="67" t="n">
        <f aca="false">Retainers!J14+Retainers!J134</f>
        <v>60.1</v>
      </c>
      <c r="K569" s="67" t="n">
        <f aca="false">Retainers!K14+Retainers!K134</f>
        <v>59.4</v>
      </c>
      <c r="L569" s="67" t="n">
        <f aca="false">Retainers!L14+Retainers!L134</f>
        <v>64.7</v>
      </c>
      <c r="M569" s="67" t="n">
        <f aca="false">Retainers!M14+Retainers!M134</f>
        <v>45.7887499999999</v>
      </c>
      <c r="N569" s="67" t="n">
        <f aca="false">Retainers!N14+Retainers!N134</f>
        <v>45.7887499999999</v>
      </c>
      <c r="O569" s="67" t="n">
        <f aca="false">Retainers!O14+Retainers!O134</f>
        <v>45.7887499999999</v>
      </c>
      <c r="P569" s="67" t="n">
        <f aca="false">Retainers!P14+Retainers!P134</f>
        <v>45.7887499999999</v>
      </c>
      <c r="Q569" s="67" t="n">
        <f aca="false">Retainers!Q14+Retainers!Q134</f>
        <v>45.7887499999999</v>
      </c>
      <c r="R569" s="67" t="n">
        <f aca="false">Retainers!R14+Retainers!R134</f>
        <v>45.7887499999999</v>
      </c>
      <c r="S569" s="67" t="n">
        <f aca="false">Retainers!S14+Retainers!S134</f>
        <v>49.5387499999999</v>
      </c>
      <c r="T569" s="67" t="n">
        <f aca="false">Retainers!T14+Retainers!T134</f>
        <v>49.5387499999999</v>
      </c>
      <c r="U569" s="67" t="n">
        <f aca="false">Retainers!U14+Retainers!U134</f>
        <v>49.5387499999999</v>
      </c>
      <c r="V569" s="67" t="n">
        <f aca="false">Retainers!V14+Retainers!V134</f>
        <v>49.5387499999999</v>
      </c>
      <c r="W569" s="67" t="n">
        <f aca="false">Retainers!W14+Retainers!W134</f>
        <v>49.5387499999999</v>
      </c>
      <c r="X569" s="67" t="n">
        <f aca="false">Retainers!X14+Retainers!X134</f>
        <v>49.5387499999999</v>
      </c>
      <c r="Y569" s="67" t="n">
        <f aca="false">Retainers!Y14+Retainers!Y134</f>
        <v>49.5387499999999</v>
      </c>
      <c r="Z569" s="67" t="n">
        <f aca="false">Retainers!Z14+Retainers!Z134</f>
        <v>49.5387499999999</v>
      </c>
      <c r="AA569" s="67" t="n">
        <f aca="false">Retainers!AA14+Retainers!AA134</f>
        <v>49.5387499999999</v>
      </c>
      <c r="AB569" s="67" t="n">
        <f aca="false">Retainers!AB14+Retainers!AB134</f>
        <v>49.5387499999999</v>
      </c>
    </row>
    <row r="570" customFormat="false" ht="15" hidden="false" customHeight="false" outlineLevel="0" collapsed="false">
      <c r="A570" s="28" t="s">
        <v>828</v>
      </c>
      <c r="B570" s="58" t="s">
        <v>49</v>
      </c>
      <c r="C570" s="66" t="n">
        <f aca="false">SUM(E570:P570)</f>
        <v>192.375</v>
      </c>
      <c r="D570" s="66" t="n">
        <f aca="false">SUM(Q570:AB570)</f>
        <v>138.403125</v>
      </c>
      <c r="E570" s="67" t="n">
        <f aca="false">Retainers!E24</f>
        <v>17.3</v>
      </c>
      <c r="F570" s="67" t="n">
        <f aca="false">Retainers!F24</f>
        <v>19.6</v>
      </c>
      <c r="G570" s="67" t="n">
        <f aca="false">Retainers!G24</f>
        <v>11.4</v>
      </c>
      <c r="H570" s="67" t="n">
        <f aca="false">Retainers!H24</f>
        <v>17</v>
      </c>
      <c r="I570" s="67" t="n">
        <f aca="false">Retainers!I24</f>
        <v>11.6</v>
      </c>
      <c r="J570" s="67" t="n">
        <f aca="false">Retainers!J24</f>
        <v>20.9</v>
      </c>
      <c r="K570" s="67" t="n">
        <f aca="false">Retainers!K24</f>
        <v>19.6</v>
      </c>
      <c r="L570" s="67" t="n">
        <f aca="false">Retainers!L24</f>
        <v>25.1</v>
      </c>
      <c r="M570" s="67" t="n">
        <f aca="false">Retainers!M24</f>
        <v>12.46875</v>
      </c>
      <c r="N570" s="67" t="n">
        <f aca="false">Retainers!N24</f>
        <v>12.46875</v>
      </c>
      <c r="O570" s="67" t="n">
        <f aca="false">Retainers!O24</f>
        <v>12.46875</v>
      </c>
      <c r="P570" s="67" t="n">
        <f aca="false">Retainers!P24</f>
        <v>12.46875</v>
      </c>
      <c r="Q570" s="67" t="n">
        <f aca="false">Retainers!Q24</f>
        <v>12.46875</v>
      </c>
      <c r="R570" s="67" t="n">
        <f aca="false">Retainers!R24</f>
        <v>12.46875</v>
      </c>
      <c r="S570" s="67" t="n">
        <f aca="false">Retainers!S24</f>
        <v>12.46875</v>
      </c>
      <c r="T570" s="67" t="n">
        <f aca="false">Retainers!T24</f>
        <v>11.221875</v>
      </c>
      <c r="U570" s="67" t="n">
        <f aca="false">Retainers!U24</f>
        <v>11.221875</v>
      </c>
      <c r="V570" s="67" t="n">
        <f aca="false">Retainers!V24</f>
        <v>11.221875</v>
      </c>
      <c r="W570" s="67" t="n">
        <f aca="false">Retainers!W24</f>
        <v>11.221875</v>
      </c>
      <c r="X570" s="67" t="n">
        <f aca="false">Retainers!X24</f>
        <v>11.221875</v>
      </c>
      <c r="Y570" s="67" t="n">
        <f aca="false">Retainers!Y24</f>
        <v>11.221875</v>
      </c>
      <c r="Z570" s="67" t="n">
        <f aca="false">Retainers!Z24</f>
        <v>11.221875</v>
      </c>
      <c r="AA570" s="67" t="n">
        <f aca="false">Retainers!AA24</f>
        <v>11.221875</v>
      </c>
      <c r="AB570" s="67" t="n">
        <f aca="false">Retainers!AB24</f>
        <v>11.221875</v>
      </c>
    </row>
    <row r="571" customFormat="false" ht="15" hidden="false" customHeight="false" outlineLevel="0" collapsed="false">
      <c r="A571" s="28" t="s">
        <v>829</v>
      </c>
      <c r="B571" s="58" t="s">
        <v>49</v>
      </c>
      <c r="C571" s="66" t="n">
        <f aca="false">SUM(E571:P571)</f>
        <v>53.5533333333333</v>
      </c>
      <c r="D571" s="66" t="n">
        <f aca="false">SUM(Q571:AB571)</f>
        <v>70.7735000000001</v>
      </c>
      <c r="E571" s="67" t="n">
        <f aca="false">Retainers!E44</f>
        <v>0</v>
      </c>
      <c r="F571" s="67" t="n">
        <f aca="false">Retainers!F44</f>
        <v>0</v>
      </c>
      <c r="G571" s="67" t="n">
        <f aca="false">Retainers!G44</f>
        <v>0</v>
      </c>
      <c r="H571" s="67" t="n">
        <f aca="false">Retainers!H44</f>
        <v>0</v>
      </c>
      <c r="I571" s="67" t="n">
        <f aca="false">Retainers!I44</f>
        <v>0</v>
      </c>
      <c r="J571" s="67" t="n">
        <f aca="false">Retainers!J44</f>
        <v>13.2</v>
      </c>
      <c r="K571" s="67" t="n">
        <f aca="false">Retainers!K44</f>
        <v>6.19999999999999</v>
      </c>
      <c r="L571" s="67" t="n">
        <f aca="false">Retainers!L44</f>
        <v>8.30000000000001</v>
      </c>
      <c r="M571" s="67" t="n">
        <f aca="false">Retainers!M44</f>
        <v>6.46333333333334</v>
      </c>
      <c r="N571" s="67" t="n">
        <f aca="false">Retainers!N44</f>
        <v>6.46333333333334</v>
      </c>
      <c r="O571" s="67" t="n">
        <f aca="false">Retainers!O44</f>
        <v>6.46333333333334</v>
      </c>
      <c r="P571" s="67" t="n">
        <f aca="false">Retainers!P44</f>
        <v>6.46333333333334</v>
      </c>
      <c r="Q571" s="67" t="n">
        <f aca="false">Retainers!Q44</f>
        <v>6.46333333333334</v>
      </c>
      <c r="R571" s="67" t="n">
        <f aca="false">Retainers!R44</f>
        <v>6.46333333333334</v>
      </c>
      <c r="S571" s="67" t="n">
        <f aca="false">Retainers!S44</f>
        <v>6.46333333333334</v>
      </c>
      <c r="T571" s="67" t="n">
        <f aca="false">Retainers!T44</f>
        <v>6.46333333333334</v>
      </c>
      <c r="U571" s="67" t="n">
        <f aca="false">Retainers!U44</f>
        <v>6.46333333333334</v>
      </c>
      <c r="V571" s="67" t="n">
        <f aca="false">Retainers!V44</f>
        <v>5.49383333333334</v>
      </c>
      <c r="W571" s="67" t="n">
        <f aca="false">Retainers!W44</f>
        <v>5.49383333333334</v>
      </c>
      <c r="X571" s="67" t="n">
        <f aca="false">Retainers!X44</f>
        <v>5.49383333333334</v>
      </c>
      <c r="Y571" s="67" t="n">
        <f aca="false">Retainers!Y44</f>
        <v>5.49383333333334</v>
      </c>
      <c r="Z571" s="67" t="n">
        <f aca="false">Retainers!Z44</f>
        <v>5.49383333333334</v>
      </c>
      <c r="AA571" s="67" t="n">
        <f aca="false">Retainers!AA44</f>
        <v>5.49383333333334</v>
      </c>
      <c r="AB571" s="67" t="n">
        <f aca="false">Retainers!AB44</f>
        <v>5.49383333333334</v>
      </c>
    </row>
    <row r="572" customFormat="false" ht="15" hidden="false" customHeight="false" outlineLevel="0" collapsed="false">
      <c r="A572" s="28" t="s">
        <v>830</v>
      </c>
      <c r="B572" s="58" t="s">
        <v>49</v>
      </c>
      <c r="C572" s="66" t="n">
        <f aca="false">SUM(E572:P572)</f>
        <v>0</v>
      </c>
      <c r="D572" s="66" t="n">
        <f aca="false">SUM(Q572:AB572)</f>
        <v>0</v>
      </c>
      <c r="E572" s="72" t="n">
        <f aca="false">0</f>
        <v>0</v>
      </c>
      <c r="F572" s="72" t="n">
        <f aca="false">0</f>
        <v>0</v>
      </c>
      <c r="G572" s="72" t="n">
        <f aca="false">0</f>
        <v>0</v>
      </c>
      <c r="H572" s="72" t="n">
        <f aca="false">0</f>
        <v>0</v>
      </c>
      <c r="I572" s="72" t="n">
        <f aca="false">0</f>
        <v>0</v>
      </c>
      <c r="J572" s="72" t="n">
        <f aca="false">0</f>
        <v>0</v>
      </c>
      <c r="K572" s="72" t="n">
        <f aca="false">0</f>
        <v>0</v>
      </c>
      <c r="L572" s="72" t="n">
        <f aca="false">0</f>
        <v>0</v>
      </c>
      <c r="M572" s="72" t="n">
        <f aca="false">0</f>
        <v>0</v>
      </c>
      <c r="N572" s="72" t="n">
        <f aca="false">0</f>
        <v>0</v>
      </c>
      <c r="O572" s="72" t="n">
        <f aca="false">0</f>
        <v>0</v>
      </c>
      <c r="P572" s="72" t="n">
        <f aca="false">0</f>
        <v>0</v>
      </c>
      <c r="Q572" s="72" t="n">
        <f aca="false">0</f>
        <v>0</v>
      </c>
      <c r="R572" s="72" t="n">
        <f aca="false">0</f>
        <v>0</v>
      </c>
      <c r="S572" s="72" t="n">
        <f aca="false">0</f>
        <v>0</v>
      </c>
      <c r="T572" s="72" t="n">
        <f aca="false">0</f>
        <v>0</v>
      </c>
      <c r="U572" s="72" t="n">
        <f aca="false">0</f>
        <v>0</v>
      </c>
      <c r="V572" s="72" t="n">
        <f aca="false">0</f>
        <v>0</v>
      </c>
      <c r="W572" s="72" t="n">
        <f aca="false">0</f>
        <v>0</v>
      </c>
      <c r="X572" s="72" t="n">
        <f aca="false">0</f>
        <v>0</v>
      </c>
      <c r="Y572" s="72" t="n">
        <f aca="false">0</f>
        <v>0</v>
      </c>
      <c r="Z572" s="72" t="n">
        <f aca="false">0</f>
        <v>0</v>
      </c>
      <c r="AA572" s="72" t="n">
        <f aca="false">0</f>
        <v>0</v>
      </c>
      <c r="AB572" s="72" t="n">
        <f aca="false">0</f>
        <v>0</v>
      </c>
    </row>
    <row r="573" customFormat="false" ht="15" hidden="false" customHeight="false" outlineLevel="0" collapsed="false">
      <c r="A573" s="28" t="s">
        <v>831</v>
      </c>
      <c r="B573" s="58" t="s">
        <v>49</v>
      </c>
      <c r="C573" s="66" t="n">
        <f aca="false">SUM(E573:P573)</f>
        <v>0</v>
      </c>
      <c r="D573" s="66" t="n">
        <f aca="false">SUM(Q573:AB573)</f>
        <v>0</v>
      </c>
      <c r="E573" s="72" t="n">
        <f aca="false">0</f>
        <v>0</v>
      </c>
      <c r="F573" s="72" t="n">
        <f aca="false">0</f>
        <v>0</v>
      </c>
      <c r="G573" s="72" t="n">
        <f aca="false">0</f>
        <v>0</v>
      </c>
      <c r="H573" s="72" t="n">
        <f aca="false">0</f>
        <v>0</v>
      </c>
      <c r="I573" s="72" t="n">
        <f aca="false">0</f>
        <v>0</v>
      </c>
      <c r="J573" s="72" t="n">
        <f aca="false">0</f>
        <v>0</v>
      </c>
      <c r="K573" s="72" t="n">
        <f aca="false">0</f>
        <v>0</v>
      </c>
      <c r="L573" s="72" t="n">
        <f aca="false">0</f>
        <v>0</v>
      </c>
      <c r="M573" s="72" t="n">
        <f aca="false">0</f>
        <v>0</v>
      </c>
      <c r="N573" s="72" t="n">
        <f aca="false">0</f>
        <v>0</v>
      </c>
      <c r="O573" s="72" t="n">
        <f aca="false">0</f>
        <v>0</v>
      </c>
      <c r="P573" s="72" t="n">
        <f aca="false">0</f>
        <v>0</v>
      </c>
      <c r="Q573" s="72" t="n">
        <f aca="false">0</f>
        <v>0</v>
      </c>
      <c r="R573" s="72" t="n">
        <f aca="false">0</f>
        <v>0</v>
      </c>
      <c r="S573" s="72" t="n">
        <f aca="false">0</f>
        <v>0</v>
      </c>
      <c r="T573" s="72" t="n">
        <f aca="false">0</f>
        <v>0</v>
      </c>
      <c r="U573" s="72" t="n">
        <f aca="false">0</f>
        <v>0</v>
      </c>
      <c r="V573" s="72" t="n">
        <f aca="false">0</f>
        <v>0</v>
      </c>
      <c r="W573" s="72" t="n">
        <f aca="false">0</f>
        <v>0</v>
      </c>
      <c r="X573" s="72" t="n">
        <f aca="false">0</f>
        <v>0</v>
      </c>
      <c r="Y573" s="72" t="n">
        <f aca="false">0</f>
        <v>0</v>
      </c>
      <c r="Z573" s="72" t="n">
        <f aca="false">0</f>
        <v>0</v>
      </c>
      <c r="AA573" s="72" t="n">
        <f aca="false">0</f>
        <v>0</v>
      </c>
      <c r="AB573" s="72" t="n">
        <f aca="false">0</f>
        <v>0</v>
      </c>
    </row>
    <row r="574" customFormat="false" ht="15" hidden="false" customHeight="false" outlineLevel="0" collapsed="false">
      <c r="A574" s="28" t="s">
        <v>832</v>
      </c>
      <c r="B574" s="58" t="s">
        <v>49</v>
      </c>
      <c r="C574" s="66" t="n">
        <f aca="false">SUM(E574:P574)</f>
        <v>193.185</v>
      </c>
      <c r="D574" s="66" t="n">
        <f aca="false">SUM(Q574:AB574)</f>
        <v>142.74225</v>
      </c>
      <c r="E574" s="67" t="n">
        <f aca="false">Retainers!E34</f>
        <v>19.5</v>
      </c>
      <c r="F574" s="67" t="n">
        <f aca="false">Retainers!F34</f>
        <v>24</v>
      </c>
      <c r="G574" s="67" t="n">
        <f aca="false">Retainers!G34</f>
        <v>15.8</v>
      </c>
      <c r="H574" s="67" t="n">
        <f aca="false">Retainers!H34</f>
        <v>24.7</v>
      </c>
      <c r="I574" s="67" t="n">
        <f aca="false">Retainers!I34</f>
        <v>17.3</v>
      </c>
      <c r="J574" s="67" t="n">
        <f aca="false">Retainers!J34</f>
        <v>5.5</v>
      </c>
      <c r="K574" s="67" t="n">
        <f aca="false">Retainers!K34</f>
        <v>26.4</v>
      </c>
      <c r="L574" s="67" t="n">
        <f aca="false">Retainers!L34</f>
        <v>9.90000000000001</v>
      </c>
      <c r="M574" s="67" t="n">
        <f aca="false">Retainers!M34</f>
        <v>12.52125</v>
      </c>
      <c r="N574" s="67" t="n">
        <f aca="false">Retainers!N34</f>
        <v>12.52125</v>
      </c>
      <c r="O574" s="67" t="n">
        <f aca="false">Retainers!O34</f>
        <v>12.52125</v>
      </c>
      <c r="P574" s="67" t="n">
        <f aca="false">Retainers!P34</f>
        <v>12.52125</v>
      </c>
      <c r="Q574" s="67" t="n">
        <f aca="false">Retainers!Q34</f>
        <v>12.52125</v>
      </c>
      <c r="R574" s="67" t="n">
        <f aca="false">Retainers!R34</f>
        <v>12.52125</v>
      </c>
      <c r="S574" s="67" t="n">
        <f aca="false">Retainers!S34</f>
        <v>12.52125</v>
      </c>
      <c r="T574" s="67" t="n">
        <f aca="false">Retainers!T34</f>
        <v>12.52125</v>
      </c>
      <c r="U574" s="67" t="n">
        <f aca="false">Retainers!U34</f>
        <v>12.52125</v>
      </c>
      <c r="V574" s="67" t="n">
        <f aca="false">Retainers!V34</f>
        <v>12.52125</v>
      </c>
      <c r="W574" s="67" t="n">
        <f aca="false">Retainers!W34</f>
        <v>11.269125</v>
      </c>
      <c r="X574" s="67" t="n">
        <f aca="false">Retainers!X34</f>
        <v>11.269125</v>
      </c>
      <c r="Y574" s="67" t="n">
        <f aca="false">Retainers!Y34</f>
        <v>11.269125</v>
      </c>
      <c r="Z574" s="67" t="n">
        <f aca="false">Retainers!Z34</f>
        <v>11.269125</v>
      </c>
      <c r="AA574" s="67" t="n">
        <f aca="false">Retainers!AA34</f>
        <v>11.269125</v>
      </c>
      <c r="AB574" s="67" t="n">
        <f aca="false">Retainers!AB34</f>
        <v>11.269125</v>
      </c>
    </row>
    <row r="575" customFormat="false" ht="15" hidden="false" customHeight="false" outlineLevel="0" collapsed="false">
      <c r="A575" s="28" t="s">
        <v>833</v>
      </c>
      <c r="B575" s="58" t="s">
        <v>49</v>
      </c>
      <c r="C575" s="66" t="n">
        <f aca="false">SUM(E575:P575)</f>
        <v>0</v>
      </c>
      <c r="D575" s="66" t="n">
        <f aca="false">SUM(Q575:AB575)</f>
        <v>0</v>
      </c>
      <c r="E575" s="72" t="n">
        <f aca="false">0</f>
        <v>0</v>
      </c>
      <c r="F575" s="72" t="n">
        <f aca="false">0</f>
        <v>0</v>
      </c>
      <c r="G575" s="72" t="n">
        <f aca="false">0</f>
        <v>0</v>
      </c>
      <c r="H575" s="72" t="n">
        <f aca="false">0</f>
        <v>0</v>
      </c>
      <c r="I575" s="72" t="n">
        <f aca="false">0</f>
        <v>0</v>
      </c>
      <c r="J575" s="72" t="n">
        <f aca="false">0</f>
        <v>0</v>
      </c>
      <c r="K575" s="72" t="n">
        <f aca="false">0</f>
        <v>0</v>
      </c>
      <c r="L575" s="72" t="n">
        <f aca="false">0</f>
        <v>0</v>
      </c>
      <c r="M575" s="72" t="n">
        <f aca="false">0</f>
        <v>0</v>
      </c>
      <c r="N575" s="72" t="n">
        <f aca="false">0</f>
        <v>0</v>
      </c>
      <c r="O575" s="72" t="n">
        <f aca="false">0</f>
        <v>0</v>
      </c>
      <c r="P575" s="72" t="n">
        <f aca="false">0</f>
        <v>0</v>
      </c>
      <c r="Q575" s="72" t="n">
        <f aca="false">0</f>
        <v>0</v>
      </c>
      <c r="R575" s="72" t="n">
        <f aca="false">0</f>
        <v>0</v>
      </c>
      <c r="S575" s="72" t="n">
        <f aca="false">0</f>
        <v>0</v>
      </c>
      <c r="T575" s="72" t="n">
        <f aca="false">0</f>
        <v>0</v>
      </c>
      <c r="U575" s="72" t="n">
        <f aca="false">0</f>
        <v>0</v>
      </c>
      <c r="V575" s="72" t="n">
        <f aca="false">0</f>
        <v>0</v>
      </c>
      <c r="W575" s="72" t="n">
        <f aca="false">0</f>
        <v>0</v>
      </c>
      <c r="X575" s="72" t="n">
        <f aca="false">0</f>
        <v>0</v>
      </c>
      <c r="Y575" s="72" t="n">
        <f aca="false">0</f>
        <v>0</v>
      </c>
      <c r="Z575" s="72" t="n">
        <f aca="false">0</f>
        <v>0</v>
      </c>
      <c r="AA575" s="72" t="n">
        <f aca="false">0</f>
        <v>0</v>
      </c>
      <c r="AB575" s="72" t="n">
        <f aca="false">0</f>
        <v>0</v>
      </c>
    </row>
    <row r="576" customFormat="false" ht="15" hidden="false" customHeight="false" outlineLevel="0" collapsed="false">
      <c r="A576" s="28" t="s">
        <v>834</v>
      </c>
      <c r="B576" s="58" t="s">
        <v>49</v>
      </c>
      <c r="C576" s="66" t="n">
        <f aca="false">SUM(E576:P576)</f>
        <v>236.652</v>
      </c>
      <c r="D576" s="66" t="n">
        <f aca="false">SUM(Q576:AB576)</f>
        <v>235.7418</v>
      </c>
      <c r="E576" s="67" t="n">
        <f aca="false">Retainers!E54</f>
        <v>0</v>
      </c>
      <c r="F576" s="67" t="n">
        <f aca="false">Retainers!F54</f>
        <v>0</v>
      </c>
      <c r="G576" s="67" t="n">
        <f aca="false">Retainers!G54</f>
        <v>0</v>
      </c>
      <c r="H576" s="67" t="n">
        <f aca="false">Retainers!H54</f>
        <v>36.1</v>
      </c>
      <c r="I576" s="67" t="n">
        <f aca="false">Retainers!I54</f>
        <v>40.8</v>
      </c>
      <c r="J576" s="67" t="n">
        <f aca="false">Retainers!J54</f>
        <v>29.2</v>
      </c>
      <c r="K576" s="67" t="n">
        <f aca="false">Retainers!K54</f>
        <v>25.5</v>
      </c>
      <c r="L576" s="67" t="n">
        <f aca="false">Retainers!L54</f>
        <v>20.1</v>
      </c>
      <c r="M576" s="67" t="n">
        <f aca="false">Retainers!M54</f>
        <v>21.238</v>
      </c>
      <c r="N576" s="67" t="n">
        <f aca="false">Retainers!N54</f>
        <v>21.238</v>
      </c>
      <c r="O576" s="67" t="n">
        <f aca="false">Retainers!O54</f>
        <v>21.238</v>
      </c>
      <c r="P576" s="67" t="n">
        <f aca="false">Retainers!P54</f>
        <v>21.238</v>
      </c>
      <c r="Q576" s="67" t="n">
        <f aca="false">Retainers!Q54</f>
        <v>21.238</v>
      </c>
      <c r="R576" s="67" t="n">
        <f aca="false">Retainers!R54</f>
        <v>21.238</v>
      </c>
      <c r="S576" s="67" t="n">
        <f aca="false">Retainers!S54</f>
        <v>21.238</v>
      </c>
      <c r="T576" s="67" t="n">
        <f aca="false">Retainers!T54</f>
        <v>19.1142</v>
      </c>
      <c r="U576" s="67" t="n">
        <f aca="false">Retainers!U54</f>
        <v>19.1142</v>
      </c>
      <c r="V576" s="67" t="n">
        <f aca="false">Retainers!V54</f>
        <v>19.1142</v>
      </c>
      <c r="W576" s="67" t="n">
        <f aca="false">Retainers!W54</f>
        <v>19.1142</v>
      </c>
      <c r="X576" s="67" t="n">
        <f aca="false">Retainers!X54</f>
        <v>19.1142</v>
      </c>
      <c r="Y576" s="67" t="n">
        <f aca="false">Retainers!Y54</f>
        <v>19.1142</v>
      </c>
      <c r="Z576" s="67" t="n">
        <f aca="false">Retainers!Z54</f>
        <v>19.1142</v>
      </c>
      <c r="AA576" s="67" t="n">
        <f aca="false">Retainers!AA54</f>
        <v>19.1142</v>
      </c>
      <c r="AB576" s="67" t="n">
        <f aca="false">Retainers!AB54</f>
        <v>19.1142</v>
      </c>
    </row>
    <row r="577" customFormat="false" ht="15" hidden="false" customHeight="false" outlineLevel="0" collapsed="false">
      <c r="A577" s="28" t="s">
        <v>835</v>
      </c>
      <c r="B577" s="58" t="s">
        <v>49</v>
      </c>
      <c r="C577" s="66" t="n">
        <f aca="false">SUM(E577:P577)</f>
        <v>75.465</v>
      </c>
      <c r="D577" s="66" t="n">
        <f aca="false">SUM(Q577:AB577)</f>
        <v>55.7602500000001</v>
      </c>
      <c r="E577" s="67" t="n">
        <f aca="false">Retainers!E64</f>
        <v>0.200000000000003</v>
      </c>
      <c r="F577" s="67" t="n">
        <f aca="false">Retainers!F64</f>
        <v>3.3</v>
      </c>
      <c r="G577" s="67" t="n">
        <f aca="false">Retainers!G64</f>
        <v>7.8</v>
      </c>
      <c r="H577" s="67" t="n">
        <f aca="false">Retainers!H64</f>
        <v>12.6</v>
      </c>
      <c r="I577" s="67" t="n">
        <f aca="false">Retainers!I64</f>
        <v>15.5</v>
      </c>
      <c r="J577" s="67" t="n">
        <f aca="false">Retainers!J64</f>
        <v>-0.299999999999997</v>
      </c>
      <c r="K577" s="67" t="n">
        <f aca="false">Retainers!K64</f>
        <v>9.2</v>
      </c>
      <c r="L577" s="67" t="n">
        <f aca="false">Retainers!L64</f>
        <v>7.59999999999999</v>
      </c>
      <c r="M577" s="67" t="n">
        <f aca="false">Retainers!M64</f>
        <v>4.89125</v>
      </c>
      <c r="N577" s="67" t="n">
        <f aca="false">Retainers!N64</f>
        <v>4.89125</v>
      </c>
      <c r="O577" s="67" t="n">
        <f aca="false">Retainers!O64</f>
        <v>4.89125</v>
      </c>
      <c r="P577" s="67" t="n">
        <f aca="false">Retainers!P64</f>
        <v>4.89125</v>
      </c>
      <c r="Q577" s="67" t="n">
        <f aca="false">Retainers!Q64</f>
        <v>4.89125</v>
      </c>
      <c r="R577" s="67" t="n">
        <f aca="false">Retainers!R64</f>
        <v>4.89125</v>
      </c>
      <c r="S577" s="67" t="n">
        <f aca="false">Retainers!S64</f>
        <v>4.89125</v>
      </c>
      <c r="T577" s="67" t="n">
        <f aca="false">Retainers!T64</f>
        <v>4.89125</v>
      </c>
      <c r="U577" s="67" t="n">
        <f aca="false">Retainers!U64</f>
        <v>4.89125</v>
      </c>
      <c r="V577" s="67" t="n">
        <f aca="false">Retainers!V64</f>
        <v>4.89125</v>
      </c>
      <c r="W577" s="67" t="n">
        <f aca="false">Retainers!W64</f>
        <v>4.40212500000001</v>
      </c>
      <c r="X577" s="67" t="n">
        <f aca="false">Retainers!X64</f>
        <v>4.40212500000001</v>
      </c>
      <c r="Y577" s="67" t="n">
        <f aca="false">Retainers!Y64</f>
        <v>4.40212500000001</v>
      </c>
      <c r="Z577" s="67" t="n">
        <f aca="false">Retainers!Z64</f>
        <v>4.40212500000001</v>
      </c>
      <c r="AA577" s="67" t="n">
        <f aca="false">Retainers!AA64</f>
        <v>4.40212500000001</v>
      </c>
      <c r="AB577" s="67" t="n">
        <f aca="false">Retainers!AB64</f>
        <v>4.40212500000001</v>
      </c>
    </row>
    <row r="578" customFormat="false" ht="15" hidden="false" customHeight="false" outlineLevel="0" collapsed="false">
      <c r="A578" s="28" t="s">
        <v>836</v>
      </c>
      <c r="B578" s="58" t="s">
        <v>49</v>
      </c>
      <c r="C578" s="66" t="n">
        <f aca="false">SUM(E578:P578)</f>
        <v>0</v>
      </c>
      <c r="D578" s="66" t="n">
        <f aca="false">SUM(Q578:AB578)</f>
        <v>0</v>
      </c>
      <c r="E578" s="72" t="n">
        <f aca="false">0</f>
        <v>0</v>
      </c>
      <c r="F578" s="72" t="n">
        <f aca="false">0</f>
        <v>0</v>
      </c>
      <c r="G578" s="72" t="n">
        <f aca="false">0</f>
        <v>0</v>
      </c>
      <c r="H578" s="72" t="n">
        <f aca="false">0</f>
        <v>0</v>
      </c>
      <c r="I578" s="72" t="n">
        <f aca="false">0</f>
        <v>0</v>
      </c>
      <c r="J578" s="72" t="n">
        <f aca="false">0</f>
        <v>0</v>
      </c>
      <c r="K578" s="72" t="n">
        <f aca="false">0</f>
        <v>0</v>
      </c>
      <c r="L578" s="72" t="n">
        <f aca="false">0</f>
        <v>0</v>
      </c>
      <c r="M578" s="72" t="n">
        <f aca="false">0</f>
        <v>0</v>
      </c>
      <c r="N578" s="72" t="n">
        <f aca="false">0</f>
        <v>0</v>
      </c>
      <c r="O578" s="72" t="n">
        <f aca="false">0</f>
        <v>0</v>
      </c>
      <c r="P578" s="72" t="n">
        <f aca="false">0</f>
        <v>0</v>
      </c>
      <c r="Q578" s="72" t="n">
        <f aca="false">0</f>
        <v>0</v>
      </c>
      <c r="R578" s="72" t="n">
        <f aca="false">0</f>
        <v>0</v>
      </c>
      <c r="S578" s="72" t="n">
        <f aca="false">0</f>
        <v>0</v>
      </c>
      <c r="T578" s="72" t="n">
        <f aca="false">0</f>
        <v>0</v>
      </c>
      <c r="U578" s="72" t="n">
        <f aca="false">0</f>
        <v>0</v>
      </c>
      <c r="V578" s="72" t="n">
        <f aca="false">0</f>
        <v>0</v>
      </c>
      <c r="W578" s="72" t="n">
        <f aca="false">0</f>
        <v>0</v>
      </c>
      <c r="X578" s="72" t="n">
        <f aca="false">0</f>
        <v>0</v>
      </c>
      <c r="Y578" s="72" t="n">
        <f aca="false">0</f>
        <v>0</v>
      </c>
      <c r="Z578" s="72" t="n">
        <f aca="false">0</f>
        <v>0</v>
      </c>
      <c r="AA578" s="72" t="n">
        <f aca="false">0</f>
        <v>0</v>
      </c>
      <c r="AB578" s="72" t="n">
        <f aca="false">0</f>
        <v>0</v>
      </c>
    </row>
    <row r="579" customFormat="false" ht="15" hidden="false" customHeight="false" outlineLevel="0" collapsed="false">
      <c r="A579" s="28" t="s">
        <v>837</v>
      </c>
      <c r="B579" s="58" t="s">
        <v>49</v>
      </c>
      <c r="C579" s="66" t="n">
        <f aca="false">SUM(E579:P579)</f>
        <v>540.675</v>
      </c>
      <c r="D579" s="66" t="n">
        <f aca="false">SUM(Q579:AB579)</f>
        <v>357.44625</v>
      </c>
      <c r="E579" s="67" t="n">
        <f aca="false">Retainers!E74</f>
        <v>55.6</v>
      </c>
      <c r="F579" s="67" t="n">
        <f aca="false">Retainers!F74</f>
        <v>50.6</v>
      </c>
      <c r="G579" s="67" t="n">
        <f aca="false">Retainers!G74</f>
        <v>61</v>
      </c>
      <c r="H579" s="67" t="n">
        <f aca="false">Retainers!H74</f>
        <v>41.6</v>
      </c>
      <c r="I579" s="67" t="n">
        <f aca="false">Retainers!I74</f>
        <v>48.5</v>
      </c>
      <c r="J579" s="67" t="n">
        <f aca="false">Retainers!J74</f>
        <v>43.5</v>
      </c>
      <c r="K579" s="67" t="n">
        <f aca="false">Retainers!K74</f>
        <v>55.4</v>
      </c>
      <c r="L579" s="67" t="n">
        <f aca="false">Retainers!L74</f>
        <v>44.3</v>
      </c>
      <c r="M579" s="67" t="n">
        <f aca="false">Retainers!M74</f>
        <v>35.04375</v>
      </c>
      <c r="N579" s="67" t="n">
        <f aca="false">Retainers!N74</f>
        <v>35.04375</v>
      </c>
      <c r="O579" s="67" t="n">
        <f aca="false">Retainers!O74</f>
        <v>35.04375</v>
      </c>
      <c r="P579" s="67" t="n">
        <f aca="false">Retainers!P74</f>
        <v>35.04375</v>
      </c>
      <c r="Q579" s="67" t="n">
        <f aca="false">Retainers!Q74</f>
        <v>29.7871875</v>
      </c>
      <c r="R579" s="67" t="n">
        <f aca="false">Retainers!R74</f>
        <v>29.7871875</v>
      </c>
      <c r="S579" s="67" t="n">
        <f aca="false">Retainers!S74</f>
        <v>29.7871875</v>
      </c>
      <c r="T579" s="67" t="n">
        <f aca="false">Retainers!T74</f>
        <v>29.7871875</v>
      </c>
      <c r="U579" s="67" t="n">
        <f aca="false">Retainers!U74</f>
        <v>29.7871875</v>
      </c>
      <c r="V579" s="67" t="n">
        <f aca="false">Retainers!V74</f>
        <v>29.7871875</v>
      </c>
      <c r="W579" s="67" t="n">
        <f aca="false">Retainers!W74</f>
        <v>29.7871875</v>
      </c>
      <c r="X579" s="67" t="n">
        <f aca="false">Retainers!X74</f>
        <v>29.7871875</v>
      </c>
      <c r="Y579" s="67" t="n">
        <f aca="false">Retainers!Y74</f>
        <v>29.7871875</v>
      </c>
      <c r="Z579" s="67" t="n">
        <f aca="false">Retainers!Z74</f>
        <v>29.7871875</v>
      </c>
      <c r="AA579" s="67" t="n">
        <f aca="false">Retainers!AA74</f>
        <v>29.7871875</v>
      </c>
      <c r="AB579" s="67" t="n">
        <f aca="false">Retainers!AB74</f>
        <v>29.7871875</v>
      </c>
    </row>
    <row r="580" customFormat="false" ht="15" hidden="false" customHeight="false" outlineLevel="0" collapsed="false">
      <c r="A580" s="28" t="s">
        <v>838</v>
      </c>
      <c r="B580" s="58" t="s">
        <v>49</v>
      </c>
      <c r="C580" s="66" t="n">
        <f aca="false">SUM(E580:P580)</f>
        <v>88.6950000000001</v>
      </c>
      <c r="D580" s="66" t="n">
        <f aca="false">SUM(Q580:AB580)</f>
        <v>67.2603750000003</v>
      </c>
      <c r="E580" s="67" t="n">
        <f aca="false">Retainers!E84</f>
        <v>13.1</v>
      </c>
      <c r="F580" s="67" t="n">
        <f aca="false">Retainers!F84</f>
        <v>7.80000000000001</v>
      </c>
      <c r="G580" s="67" t="n">
        <f aca="false">Retainers!G84</f>
        <v>1.19999999999999</v>
      </c>
      <c r="H580" s="67" t="n">
        <f aca="false">Retainers!H84</f>
        <v>-1.09999999999999</v>
      </c>
      <c r="I580" s="67" t="n">
        <f aca="false">Retainers!I84</f>
        <v>12</v>
      </c>
      <c r="J580" s="67" t="n">
        <f aca="false">Retainers!J84</f>
        <v>13.5</v>
      </c>
      <c r="K580" s="67" t="n">
        <f aca="false">Retainers!K84</f>
        <v>15.7</v>
      </c>
      <c r="L580" s="67" t="n">
        <f aca="false">Retainers!L84</f>
        <v>3.5</v>
      </c>
      <c r="M580" s="67" t="n">
        <f aca="false">Retainers!M84</f>
        <v>5.74875000000003</v>
      </c>
      <c r="N580" s="67" t="n">
        <f aca="false">Retainers!N84</f>
        <v>5.74875000000003</v>
      </c>
      <c r="O580" s="67" t="n">
        <f aca="false">Retainers!O84</f>
        <v>5.74875000000003</v>
      </c>
      <c r="P580" s="67" t="n">
        <f aca="false">Retainers!P84</f>
        <v>5.74875000000003</v>
      </c>
      <c r="Q580" s="67" t="n">
        <f aca="false">Retainers!Q84</f>
        <v>5.74875000000003</v>
      </c>
      <c r="R580" s="67" t="n">
        <f aca="false">Retainers!R84</f>
        <v>5.74875000000003</v>
      </c>
      <c r="S580" s="67" t="n">
        <f aca="false">Retainers!S84</f>
        <v>5.74875000000003</v>
      </c>
      <c r="T580" s="67" t="n">
        <f aca="false">Retainers!T84</f>
        <v>5.74875000000003</v>
      </c>
      <c r="U580" s="67" t="n">
        <f aca="false">Retainers!U84</f>
        <v>5.74875000000003</v>
      </c>
      <c r="V580" s="67" t="n">
        <f aca="false">Retainers!V84</f>
        <v>5.74875000000003</v>
      </c>
      <c r="W580" s="67" t="n">
        <f aca="false">Retainers!W84</f>
        <v>5.74875000000003</v>
      </c>
      <c r="X580" s="67" t="n">
        <f aca="false">Retainers!X84</f>
        <v>5.74875000000003</v>
      </c>
      <c r="Y580" s="67" t="n">
        <f aca="false">Retainers!Y84</f>
        <v>5.74875000000003</v>
      </c>
      <c r="Z580" s="67" t="n">
        <f aca="false">Retainers!Z84</f>
        <v>5.17387500000001</v>
      </c>
      <c r="AA580" s="67" t="n">
        <f aca="false">Retainers!AA84</f>
        <v>5.17387500000001</v>
      </c>
      <c r="AB580" s="67" t="n">
        <f aca="false">Retainers!AB84</f>
        <v>5.17387500000001</v>
      </c>
    </row>
    <row r="581" customFormat="false" ht="15" hidden="false" customHeight="false" outlineLevel="0" collapsed="false">
      <c r="A581" s="28" t="s">
        <v>839</v>
      </c>
      <c r="B581" s="58" t="s">
        <v>49</v>
      </c>
      <c r="C581" s="66" t="n">
        <f aca="false">SUM(E581:P581)</f>
        <v>120.42</v>
      </c>
      <c r="D581" s="66" t="n">
        <f aca="false">SUM(Q581:AB581)</f>
        <v>81.9525000000001</v>
      </c>
      <c r="E581" s="67" t="n">
        <f aca="false">Retainers!E94</f>
        <v>16.4</v>
      </c>
      <c r="F581" s="67" t="n">
        <f aca="false">Retainers!F94</f>
        <v>10</v>
      </c>
      <c r="G581" s="67" t="n">
        <f aca="false">Retainers!G94</f>
        <v>18.4</v>
      </c>
      <c r="H581" s="67" t="n">
        <f aca="false">Retainers!H94</f>
        <v>6.19999999999999</v>
      </c>
      <c r="I581" s="67" t="n">
        <f aca="false">Retainers!I94</f>
        <v>8.90000000000001</v>
      </c>
      <c r="J581" s="67" t="n">
        <f aca="false">Retainers!J94</f>
        <v>2.69999999999999</v>
      </c>
      <c r="K581" s="67" t="n">
        <f aca="false">Retainers!K94</f>
        <v>12.4</v>
      </c>
      <c r="L581" s="67" t="n">
        <f aca="false">Retainers!L94</f>
        <v>14.2</v>
      </c>
      <c r="M581" s="67" t="n">
        <f aca="false">Retainers!M94</f>
        <v>7.80500000000001</v>
      </c>
      <c r="N581" s="67" t="n">
        <f aca="false">Retainers!N94</f>
        <v>7.80500000000001</v>
      </c>
      <c r="O581" s="67" t="n">
        <f aca="false">Retainers!O94</f>
        <v>7.80500000000001</v>
      </c>
      <c r="P581" s="67" t="n">
        <f aca="false">Retainers!P94</f>
        <v>7.80500000000001</v>
      </c>
      <c r="Q581" s="67" t="n">
        <f aca="false">Retainers!Q94</f>
        <v>7.80500000000001</v>
      </c>
      <c r="R581" s="67" t="n">
        <f aca="false">Retainers!R94</f>
        <v>7.80500000000001</v>
      </c>
      <c r="S581" s="67" t="n">
        <f aca="false">Retainers!S94</f>
        <v>6.63425000000001</v>
      </c>
      <c r="T581" s="67" t="n">
        <f aca="false">Retainers!T94</f>
        <v>6.63425000000001</v>
      </c>
      <c r="U581" s="67" t="n">
        <f aca="false">Retainers!U94</f>
        <v>6.63425000000001</v>
      </c>
      <c r="V581" s="67" t="n">
        <f aca="false">Retainers!V94</f>
        <v>6.63425000000001</v>
      </c>
      <c r="W581" s="67" t="n">
        <f aca="false">Retainers!W94</f>
        <v>6.63425000000001</v>
      </c>
      <c r="X581" s="67" t="n">
        <f aca="false">Retainers!X94</f>
        <v>6.63425000000001</v>
      </c>
      <c r="Y581" s="67" t="n">
        <f aca="false">Retainers!Y94</f>
        <v>6.63425000000001</v>
      </c>
      <c r="Z581" s="67" t="n">
        <f aca="false">Retainers!Z94</f>
        <v>6.63425000000001</v>
      </c>
      <c r="AA581" s="67" t="n">
        <f aca="false">Retainers!AA94</f>
        <v>6.63425000000001</v>
      </c>
      <c r="AB581" s="67" t="n">
        <f aca="false">Retainers!AB94</f>
        <v>6.63425000000001</v>
      </c>
    </row>
    <row r="582" customFormat="false" ht="15" hidden="false" customHeight="false" outlineLevel="0" collapsed="false">
      <c r="A582" s="28" t="s">
        <v>840</v>
      </c>
      <c r="B582" s="58" t="s">
        <v>49</v>
      </c>
      <c r="C582" s="66" t="n">
        <f aca="false">SUM(E582:P582)</f>
        <v>0</v>
      </c>
      <c r="D582" s="66" t="n">
        <f aca="false">SUM(Q582:AB582)</f>
        <v>0</v>
      </c>
      <c r="E582" s="72" t="n">
        <f aca="false">0</f>
        <v>0</v>
      </c>
      <c r="F582" s="72" t="n">
        <f aca="false">0</f>
        <v>0</v>
      </c>
      <c r="G582" s="72" t="n">
        <f aca="false">0</f>
        <v>0</v>
      </c>
      <c r="H582" s="72" t="n">
        <f aca="false">0</f>
        <v>0</v>
      </c>
      <c r="I582" s="72" t="n">
        <f aca="false">0</f>
        <v>0</v>
      </c>
      <c r="J582" s="72" t="n">
        <f aca="false">0</f>
        <v>0</v>
      </c>
      <c r="K582" s="72" t="n">
        <f aca="false">0</f>
        <v>0</v>
      </c>
      <c r="L582" s="72" t="n">
        <f aca="false">0</f>
        <v>0</v>
      </c>
      <c r="M582" s="72" t="n">
        <f aca="false">0</f>
        <v>0</v>
      </c>
      <c r="N582" s="72" t="n">
        <f aca="false">0</f>
        <v>0</v>
      </c>
      <c r="O582" s="72" t="n">
        <f aca="false">0</f>
        <v>0</v>
      </c>
      <c r="P582" s="72" t="n">
        <f aca="false">0</f>
        <v>0</v>
      </c>
      <c r="Q582" s="72" t="n">
        <f aca="false">0</f>
        <v>0</v>
      </c>
      <c r="R582" s="72" t="n">
        <f aca="false">0</f>
        <v>0</v>
      </c>
      <c r="S582" s="72" t="n">
        <f aca="false">0</f>
        <v>0</v>
      </c>
      <c r="T582" s="72" t="n">
        <f aca="false">0</f>
        <v>0</v>
      </c>
      <c r="U582" s="72" t="n">
        <f aca="false">0</f>
        <v>0</v>
      </c>
      <c r="V582" s="72" t="n">
        <f aca="false">0</f>
        <v>0</v>
      </c>
      <c r="W582" s="72" t="n">
        <f aca="false">0</f>
        <v>0</v>
      </c>
      <c r="X582" s="72" t="n">
        <f aca="false">0</f>
        <v>0</v>
      </c>
      <c r="Y582" s="72" t="n">
        <f aca="false">0</f>
        <v>0</v>
      </c>
      <c r="Z582" s="72" t="n">
        <f aca="false">0</f>
        <v>0</v>
      </c>
      <c r="AA582" s="72" t="n">
        <f aca="false">0</f>
        <v>0</v>
      </c>
      <c r="AB582" s="72" t="n">
        <f aca="false">0</f>
        <v>0</v>
      </c>
    </row>
    <row r="583" customFormat="false" ht="15" hidden="false" customHeight="false" outlineLevel="0" collapsed="false">
      <c r="A583" s="28" t="s">
        <v>841</v>
      </c>
      <c r="B583" s="58" t="s">
        <v>49</v>
      </c>
      <c r="C583" s="66" t="n">
        <f aca="false">SUM(E583:P583)</f>
        <v>244.57875</v>
      </c>
      <c r="D583" s="66" t="n">
        <f aca="false">SUM(Q583:AB583)</f>
        <v>0</v>
      </c>
      <c r="E583" s="67" t="n">
        <f aca="false">Retainers!E104</f>
        <v>33.7</v>
      </c>
      <c r="F583" s="67" t="n">
        <f aca="false">Retainers!F104</f>
        <v>26.3</v>
      </c>
      <c r="G583" s="67" t="n">
        <f aca="false">Retainers!G104</f>
        <v>28.2</v>
      </c>
      <c r="H583" s="67" t="n">
        <f aca="false">Retainers!H104</f>
        <v>31.9</v>
      </c>
      <c r="I583" s="67" t="n">
        <f aca="false">Retainers!I104</f>
        <v>26.6</v>
      </c>
      <c r="J583" s="67" t="n">
        <f aca="false">Retainers!J104</f>
        <v>23.6</v>
      </c>
      <c r="K583" s="67" t="n">
        <f aca="false">Retainers!K104</f>
        <v>20.1</v>
      </c>
      <c r="L583" s="67" t="n">
        <f aca="false">Retainers!L104</f>
        <v>34.5</v>
      </c>
      <c r="M583" s="67" t="n">
        <f aca="false">Retainers!M104</f>
        <v>19.67875</v>
      </c>
      <c r="N583" s="67" t="n">
        <f aca="false">Retainers!N104</f>
        <v>0</v>
      </c>
      <c r="O583" s="67" t="n">
        <f aca="false">Retainers!O104</f>
        <v>0</v>
      </c>
      <c r="P583" s="67" t="n">
        <f aca="false">Retainers!P104</f>
        <v>0</v>
      </c>
      <c r="Q583" s="67" t="n">
        <f aca="false">Retainers!Q104</f>
        <v>0</v>
      </c>
      <c r="R583" s="67" t="n">
        <f aca="false">Retainers!R104</f>
        <v>0</v>
      </c>
      <c r="S583" s="67" t="n">
        <f aca="false">Retainers!S104</f>
        <v>0</v>
      </c>
      <c r="T583" s="67" t="n">
        <f aca="false">Retainers!T104</f>
        <v>0</v>
      </c>
      <c r="U583" s="67" t="n">
        <f aca="false">Retainers!U104</f>
        <v>0</v>
      </c>
      <c r="V583" s="67" t="n">
        <f aca="false">Retainers!V104</f>
        <v>0</v>
      </c>
      <c r="W583" s="67" t="n">
        <f aca="false">Retainers!W104</f>
        <v>0</v>
      </c>
      <c r="X583" s="67" t="n">
        <f aca="false">Retainers!X104</f>
        <v>0</v>
      </c>
      <c r="Y583" s="67" t="n">
        <f aca="false">Retainers!Y104</f>
        <v>0</v>
      </c>
      <c r="Z583" s="67" t="n">
        <f aca="false">Retainers!Z104</f>
        <v>0</v>
      </c>
      <c r="AA583" s="67" t="n">
        <f aca="false">Retainers!AA104</f>
        <v>0</v>
      </c>
      <c r="AB583" s="67" t="n">
        <f aca="false">Retainers!AB104</f>
        <v>0</v>
      </c>
    </row>
    <row r="584" customFormat="false" ht="15" hidden="false" customHeight="false" outlineLevel="0" collapsed="false">
      <c r="A584" s="28" t="s">
        <v>842</v>
      </c>
      <c r="B584" s="58" t="s">
        <v>49</v>
      </c>
      <c r="C584" s="66" t="n">
        <f aca="false">SUM(E584:P584)</f>
        <v>0</v>
      </c>
      <c r="D584" s="66" t="n">
        <f aca="false">SUM(Q584:AB584)</f>
        <v>0</v>
      </c>
      <c r="E584" s="72" t="n">
        <f aca="false">0</f>
        <v>0</v>
      </c>
      <c r="F584" s="72" t="n">
        <f aca="false">0</f>
        <v>0</v>
      </c>
      <c r="G584" s="72" t="n">
        <f aca="false">0</f>
        <v>0</v>
      </c>
      <c r="H584" s="72" t="n">
        <f aca="false">0</f>
        <v>0</v>
      </c>
      <c r="I584" s="72" t="n">
        <f aca="false">0</f>
        <v>0</v>
      </c>
      <c r="J584" s="72" t="n">
        <f aca="false">0</f>
        <v>0</v>
      </c>
      <c r="K584" s="72" t="n">
        <f aca="false">0</f>
        <v>0</v>
      </c>
      <c r="L584" s="72" t="n">
        <f aca="false">0</f>
        <v>0</v>
      </c>
      <c r="M584" s="72" t="n">
        <f aca="false">0</f>
        <v>0</v>
      </c>
      <c r="N584" s="72" t="n">
        <f aca="false">0</f>
        <v>0</v>
      </c>
      <c r="O584" s="72" t="n">
        <f aca="false">0</f>
        <v>0</v>
      </c>
      <c r="P584" s="72" t="n">
        <f aca="false">0</f>
        <v>0</v>
      </c>
      <c r="Q584" s="72" t="n">
        <f aca="false">0</f>
        <v>0</v>
      </c>
      <c r="R584" s="72" t="n">
        <f aca="false">0</f>
        <v>0</v>
      </c>
      <c r="S584" s="72" t="n">
        <f aca="false">0</f>
        <v>0</v>
      </c>
      <c r="T584" s="72" t="n">
        <f aca="false">0</f>
        <v>0</v>
      </c>
      <c r="U584" s="72" t="n">
        <f aca="false">0</f>
        <v>0</v>
      </c>
      <c r="V584" s="72" t="n">
        <f aca="false">0</f>
        <v>0</v>
      </c>
      <c r="W584" s="72" t="n">
        <f aca="false">0</f>
        <v>0</v>
      </c>
      <c r="X584" s="72" t="n">
        <f aca="false">0</f>
        <v>0</v>
      </c>
      <c r="Y584" s="72" t="n">
        <f aca="false">0</f>
        <v>0</v>
      </c>
      <c r="Z584" s="72" t="n">
        <f aca="false">0</f>
        <v>0</v>
      </c>
      <c r="AA584" s="72" t="n">
        <f aca="false">0</f>
        <v>0</v>
      </c>
      <c r="AB584" s="72" t="n">
        <f aca="false">0</f>
        <v>0</v>
      </c>
    </row>
    <row r="585" customFormat="false" ht="15" hidden="false" customHeight="false" outlineLevel="0" collapsed="false">
      <c r="A585" s="28" t="s">
        <v>843</v>
      </c>
      <c r="B585" s="58" t="s">
        <v>49</v>
      </c>
      <c r="C585" s="66" t="n">
        <f aca="false">SUM(E585:P585)</f>
        <v>61.29</v>
      </c>
      <c r="D585" s="66" t="n">
        <f aca="false">SUM(Q585:AB585)</f>
        <v>45.2864999999999</v>
      </c>
      <c r="E585" s="67" t="n">
        <f aca="false">Retainers!E114</f>
        <v>9</v>
      </c>
      <c r="F585" s="67" t="n">
        <f aca="false">Retainers!F114</f>
        <v>0.299999999999997</v>
      </c>
      <c r="G585" s="67" t="n">
        <f aca="false">Retainers!G114</f>
        <v>5.5</v>
      </c>
      <c r="H585" s="67" t="n">
        <f aca="false">Retainers!H114</f>
        <v>9.8</v>
      </c>
      <c r="I585" s="67" t="n">
        <f aca="false">Retainers!I114</f>
        <v>4.5</v>
      </c>
      <c r="J585" s="67" t="n">
        <f aca="false">Retainers!J114</f>
        <v>7.40000000000001</v>
      </c>
      <c r="K585" s="67" t="n">
        <f aca="false">Retainers!K114</f>
        <v>1.2</v>
      </c>
      <c r="L585" s="67" t="n">
        <f aca="false">Retainers!L114</f>
        <v>7.7</v>
      </c>
      <c r="M585" s="67" t="n">
        <f aca="false">Retainers!M114</f>
        <v>3.9725</v>
      </c>
      <c r="N585" s="67" t="n">
        <f aca="false">Retainers!N114</f>
        <v>3.9725</v>
      </c>
      <c r="O585" s="67" t="n">
        <f aca="false">Retainers!O114</f>
        <v>3.9725</v>
      </c>
      <c r="P585" s="67" t="n">
        <f aca="false">Retainers!P114</f>
        <v>3.9725</v>
      </c>
      <c r="Q585" s="67" t="n">
        <f aca="false">Retainers!Q114</f>
        <v>3.77387499999999</v>
      </c>
      <c r="R585" s="67" t="n">
        <f aca="false">Retainers!R114</f>
        <v>3.77387499999999</v>
      </c>
      <c r="S585" s="67" t="n">
        <f aca="false">Retainers!S114</f>
        <v>3.77387499999999</v>
      </c>
      <c r="T585" s="67" t="n">
        <f aca="false">Retainers!T114</f>
        <v>3.77387499999999</v>
      </c>
      <c r="U585" s="67" t="n">
        <f aca="false">Retainers!U114</f>
        <v>3.77387499999999</v>
      </c>
      <c r="V585" s="67" t="n">
        <f aca="false">Retainers!V114</f>
        <v>3.77387499999999</v>
      </c>
      <c r="W585" s="67" t="n">
        <f aca="false">Retainers!W114</f>
        <v>3.77387499999999</v>
      </c>
      <c r="X585" s="67" t="n">
        <f aca="false">Retainers!X114</f>
        <v>3.77387499999999</v>
      </c>
      <c r="Y585" s="67" t="n">
        <f aca="false">Retainers!Y114</f>
        <v>3.77387499999999</v>
      </c>
      <c r="Z585" s="67" t="n">
        <f aca="false">Retainers!Z114</f>
        <v>3.77387499999999</v>
      </c>
      <c r="AA585" s="67" t="n">
        <f aca="false">Retainers!AA114</f>
        <v>3.77387499999999</v>
      </c>
      <c r="AB585" s="67" t="n">
        <f aca="false">Retainers!AB114</f>
        <v>3.77387499999999</v>
      </c>
    </row>
    <row r="586" customFormat="false" ht="15" hidden="false" customHeight="false" outlineLevel="0" collapsed="false">
      <c r="A586" s="28" t="s">
        <v>844</v>
      </c>
      <c r="B586" s="58" t="s">
        <v>49</v>
      </c>
      <c r="C586" s="66" t="n">
        <f aca="false">SUM(E586:P586)</f>
        <v>0</v>
      </c>
      <c r="D586" s="66" t="n">
        <f aca="false">SUM(Q586:AB586)</f>
        <v>0</v>
      </c>
      <c r="E586" s="72" t="n">
        <f aca="false">0</f>
        <v>0</v>
      </c>
      <c r="F586" s="72" t="n">
        <f aca="false">0</f>
        <v>0</v>
      </c>
      <c r="G586" s="72" t="n">
        <f aca="false">0</f>
        <v>0</v>
      </c>
      <c r="H586" s="72" t="n">
        <f aca="false">0</f>
        <v>0</v>
      </c>
      <c r="I586" s="72" t="n">
        <f aca="false">0</f>
        <v>0</v>
      </c>
      <c r="J586" s="72" t="n">
        <f aca="false">0</f>
        <v>0</v>
      </c>
      <c r="K586" s="72" t="n">
        <f aca="false">0</f>
        <v>0</v>
      </c>
      <c r="L586" s="72" t="n">
        <f aca="false">0</f>
        <v>0</v>
      </c>
      <c r="M586" s="72" t="n">
        <f aca="false">0</f>
        <v>0</v>
      </c>
      <c r="N586" s="72" t="n">
        <f aca="false">0</f>
        <v>0</v>
      </c>
      <c r="O586" s="72" t="n">
        <f aca="false">0</f>
        <v>0</v>
      </c>
      <c r="P586" s="72" t="n">
        <f aca="false">0</f>
        <v>0</v>
      </c>
      <c r="Q586" s="72" t="n">
        <f aca="false">0</f>
        <v>0</v>
      </c>
      <c r="R586" s="72" t="n">
        <f aca="false">0</f>
        <v>0</v>
      </c>
      <c r="S586" s="72" t="n">
        <f aca="false">0</f>
        <v>0</v>
      </c>
      <c r="T586" s="72" t="n">
        <f aca="false">0</f>
        <v>0</v>
      </c>
      <c r="U586" s="72" t="n">
        <f aca="false">0</f>
        <v>0</v>
      </c>
      <c r="V586" s="72" t="n">
        <f aca="false">0</f>
        <v>0</v>
      </c>
      <c r="W586" s="72" t="n">
        <f aca="false">0</f>
        <v>0</v>
      </c>
      <c r="X586" s="72" t="n">
        <f aca="false">0</f>
        <v>0</v>
      </c>
      <c r="Y586" s="72" t="n">
        <f aca="false">0</f>
        <v>0</v>
      </c>
      <c r="Z586" s="72" t="n">
        <f aca="false">0</f>
        <v>0</v>
      </c>
      <c r="AA586" s="72" t="n">
        <f aca="false">0</f>
        <v>0</v>
      </c>
      <c r="AB586" s="72" t="n">
        <f aca="false">0</f>
        <v>0</v>
      </c>
    </row>
    <row r="587" customFormat="false" ht="15" hidden="false" customHeight="false" outlineLevel="0" collapsed="false">
      <c r="A587" s="28" t="s">
        <v>845</v>
      </c>
      <c r="B587" s="58" t="s">
        <v>49</v>
      </c>
      <c r="C587" s="66" t="n">
        <f aca="false">SUM(E587:P587)</f>
        <v>0</v>
      </c>
      <c r="D587" s="66" t="n">
        <f aca="false">SUM(Q587:AB587)</f>
        <v>70.2000000000001</v>
      </c>
      <c r="E587" s="67" t="n">
        <f aca="false">Retainers!E124</f>
        <v>0</v>
      </c>
      <c r="F587" s="67" t="n">
        <f aca="false">Retainers!F124</f>
        <v>0</v>
      </c>
      <c r="G587" s="67" t="n">
        <f aca="false">Retainers!G124</f>
        <v>0</v>
      </c>
      <c r="H587" s="67" t="n">
        <f aca="false">Retainers!H124</f>
        <v>0</v>
      </c>
      <c r="I587" s="67" t="n">
        <f aca="false">Retainers!I124</f>
        <v>0</v>
      </c>
      <c r="J587" s="67" t="n">
        <f aca="false">Retainers!J124</f>
        <v>0</v>
      </c>
      <c r="K587" s="67" t="n">
        <f aca="false">Retainers!K124</f>
        <v>0</v>
      </c>
      <c r="L587" s="67" t="n">
        <f aca="false">Retainers!L124</f>
        <v>0</v>
      </c>
      <c r="M587" s="67" t="n">
        <f aca="false">Retainers!M124</f>
        <v>0</v>
      </c>
      <c r="N587" s="67" t="n">
        <f aca="false">Retainers!N124</f>
        <v>0</v>
      </c>
      <c r="O587" s="67" t="n">
        <f aca="false">Retainers!O124</f>
        <v>0</v>
      </c>
      <c r="P587" s="67" t="n">
        <f aca="false">Retainers!P124</f>
        <v>0</v>
      </c>
      <c r="Q587" s="67" t="n">
        <f aca="false">Retainers!Q124</f>
        <v>5.85000000000001</v>
      </c>
      <c r="R587" s="67" t="n">
        <f aca="false">Retainers!R124</f>
        <v>5.85000000000001</v>
      </c>
      <c r="S587" s="67" t="n">
        <f aca="false">Retainers!S124</f>
        <v>5.85000000000001</v>
      </c>
      <c r="T587" s="67" t="n">
        <f aca="false">Retainers!T124</f>
        <v>5.85000000000001</v>
      </c>
      <c r="U587" s="67" t="n">
        <f aca="false">Retainers!U124</f>
        <v>5.85000000000001</v>
      </c>
      <c r="V587" s="67" t="n">
        <f aca="false">Retainers!V124</f>
        <v>5.85000000000001</v>
      </c>
      <c r="W587" s="67" t="n">
        <f aca="false">Retainers!W124</f>
        <v>5.85000000000001</v>
      </c>
      <c r="X587" s="67" t="n">
        <f aca="false">Retainers!X124</f>
        <v>5.85000000000001</v>
      </c>
      <c r="Y587" s="67" t="n">
        <f aca="false">Retainers!Y124</f>
        <v>5.85000000000001</v>
      </c>
      <c r="Z587" s="67" t="n">
        <f aca="false">Retainers!Z124</f>
        <v>5.85000000000001</v>
      </c>
      <c r="AA587" s="67" t="n">
        <f aca="false">Retainers!AA124</f>
        <v>5.85000000000001</v>
      </c>
      <c r="AB587" s="67" t="n">
        <f aca="false">Retainers!AB124</f>
        <v>5.85000000000001</v>
      </c>
    </row>
    <row r="588" customFormat="false" ht="15" hidden="false" customHeight="false" outlineLevel="0" collapsed="false">
      <c r="A588" s="28" t="s">
        <v>846</v>
      </c>
      <c r="B588" s="58" t="s">
        <v>49</v>
      </c>
      <c r="C588" s="66" t="n">
        <f aca="false">SUM(E588:P588)</f>
        <v>0</v>
      </c>
      <c r="D588" s="66" t="n">
        <f aca="false">SUM(Q588:AB588)</f>
        <v>51.4500000000001</v>
      </c>
      <c r="E588" s="67" t="n">
        <f aca="false">Retainers!E154</f>
        <v>0</v>
      </c>
      <c r="F588" s="67" t="n">
        <f aca="false">Retainers!F154</f>
        <v>0</v>
      </c>
      <c r="G588" s="67" t="n">
        <f aca="false">Retainers!G154</f>
        <v>0</v>
      </c>
      <c r="H588" s="67" t="n">
        <f aca="false">Retainers!H154</f>
        <v>0</v>
      </c>
      <c r="I588" s="67" t="n">
        <f aca="false">Retainers!I154</f>
        <v>0</v>
      </c>
      <c r="J588" s="67" t="n">
        <f aca="false">Retainers!J154</f>
        <v>0</v>
      </c>
      <c r="K588" s="67" t="n">
        <f aca="false">Retainers!K154</f>
        <v>0</v>
      </c>
      <c r="L588" s="67" t="n">
        <f aca="false">Retainers!L154</f>
        <v>0</v>
      </c>
      <c r="M588" s="67" t="n">
        <f aca="false">Retainers!M154</f>
        <v>0</v>
      </c>
      <c r="N588" s="67" t="n">
        <f aca="false">Retainers!N154</f>
        <v>0</v>
      </c>
      <c r="O588" s="67" t="n">
        <f aca="false">Retainers!O154</f>
        <v>0</v>
      </c>
      <c r="P588" s="67" t="n">
        <f aca="false">Retainers!P154</f>
        <v>0</v>
      </c>
      <c r="Q588" s="67" t="n">
        <f aca="false">Retainers!Q154</f>
        <v>0</v>
      </c>
      <c r="R588" s="67" t="n">
        <f aca="false">Retainers!R154</f>
        <v>0</v>
      </c>
      <c r="S588" s="67" t="n">
        <f aca="false">Retainers!S154</f>
        <v>0</v>
      </c>
      <c r="T588" s="67" t="n">
        <f aca="false">Retainers!T154</f>
        <v>0</v>
      </c>
      <c r="U588" s="67" t="n">
        <f aca="false">Retainers!U154</f>
        <v>0</v>
      </c>
      <c r="V588" s="67" t="n">
        <f aca="false">Retainers!V154</f>
        <v>7.35000000000001</v>
      </c>
      <c r="W588" s="67" t="n">
        <f aca="false">Retainers!W154</f>
        <v>7.35000000000001</v>
      </c>
      <c r="X588" s="67" t="n">
        <f aca="false">Retainers!X154</f>
        <v>7.35000000000001</v>
      </c>
      <c r="Y588" s="67" t="n">
        <f aca="false">Retainers!Y154</f>
        <v>7.35000000000001</v>
      </c>
      <c r="Z588" s="67" t="n">
        <f aca="false">Retainers!Z154</f>
        <v>7.35000000000001</v>
      </c>
      <c r="AA588" s="67" t="n">
        <f aca="false">Retainers!AA154</f>
        <v>7.35000000000001</v>
      </c>
      <c r="AB588" s="67" t="n">
        <f aca="false">Retainers!AB154</f>
        <v>7.35000000000001</v>
      </c>
    </row>
    <row r="589" customFormat="false" ht="15" hidden="false" customHeight="false" outlineLevel="0" collapsed="false">
      <c r="A589" s="28" t="s">
        <v>847</v>
      </c>
      <c r="B589" s="58" t="s">
        <v>49</v>
      </c>
      <c r="C589" s="66" t="n">
        <f aca="false">SUM(E589:P589)</f>
        <v>0</v>
      </c>
      <c r="D589" s="66" t="n">
        <f aca="false">SUM(Q589:AB589)</f>
        <v>39.6000000000001</v>
      </c>
      <c r="E589" s="67" t="n">
        <f aca="false">Retainers!E144</f>
        <v>0</v>
      </c>
      <c r="F589" s="67" t="n">
        <f aca="false">Retainers!F144</f>
        <v>0</v>
      </c>
      <c r="G589" s="67" t="n">
        <f aca="false">Retainers!G144</f>
        <v>0</v>
      </c>
      <c r="H589" s="67" t="n">
        <f aca="false">Retainers!H144</f>
        <v>0</v>
      </c>
      <c r="I589" s="67" t="n">
        <f aca="false">Retainers!I144</f>
        <v>0</v>
      </c>
      <c r="J589" s="67" t="n">
        <f aca="false">Retainers!J144</f>
        <v>0</v>
      </c>
      <c r="K589" s="67" t="n">
        <f aca="false">Retainers!K144</f>
        <v>0</v>
      </c>
      <c r="L589" s="67" t="n">
        <f aca="false">Retainers!L144</f>
        <v>0</v>
      </c>
      <c r="M589" s="67" t="n">
        <f aca="false">Retainers!M144</f>
        <v>0</v>
      </c>
      <c r="N589" s="67" t="n">
        <f aca="false">Retainers!N144</f>
        <v>0</v>
      </c>
      <c r="O589" s="67" t="n">
        <f aca="false">Retainers!O144</f>
        <v>0</v>
      </c>
      <c r="P589" s="67" t="n">
        <f aca="false">Retainers!P144</f>
        <v>0</v>
      </c>
      <c r="Q589" s="67" t="n">
        <f aca="false">Retainers!Q144</f>
        <v>0</v>
      </c>
      <c r="R589" s="67" t="n">
        <f aca="false">Retainers!R144</f>
        <v>0</v>
      </c>
      <c r="S589" s="67" t="n">
        <f aca="false">Retainers!S144</f>
        <v>0</v>
      </c>
      <c r="T589" s="67" t="n">
        <f aca="false">Retainers!T144</f>
        <v>4.40000000000001</v>
      </c>
      <c r="U589" s="67" t="n">
        <f aca="false">Retainers!U144</f>
        <v>4.40000000000001</v>
      </c>
      <c r="V589" s="67" t="n">
        <f aca="false">Retainers!V144</f>
        <v>4.40000000000001</v>
      </c>
      <c r="W589" s="67" t="n">
        <f aca="false">Retainers!W144</f>
        <v>4.40000000000001</v>
      </c>
      <c r="X589" s="67" t="n">
        <f aca="false">Retainers!X144</f>
        <v>4.40000000000001</v>
      </c>
      <c r="Y589" s="67" t="n">
        <f aca="false">Retainers!Y144</f>
        <v>4.40000000000001</v>
      </c>
      <c r="Z589" s="67" t="n">
        <f aca="false">Retainers!Z144</f>
        <v>4.40000000000001</v>
      </c>
      <c r="AA589" s="67" t="n">
        <f aca="false">Retainers!AA144</f>
        <v>4.40000000000001</v>
      </c>
      <c r="AB589" s="67" t="n">
        <f aca="false">Retainers!AB144</f>
        <v>4.40000000000001</v>
      </c>
    </row>
    <row r="590" customFormat="false" ht="15" hidden="false" customHeight="false" outlineLevel="0" collapsed="false">
      <c r="A590" s="28" t="s">
        <v>848</v>
      </c>
      <c r="B590" s="58" t="s">
        <v>49</v>
      </c>
      <c r="C590" s="66" t="n">
        <f aca="false">SUM(E590:P590)</f>
        <v>0</v>
      </c>
      <c r="D590" s="66" t="n">
        <f aca="false">SUM(Q590:AB590)</f>
        <v>0</v>
      </c>
      <c r="E590" s="72" t="n">
        <f aca="false">0</f>
        <v>0</v>
      </c>
      <c r="F590" s="72" t="n">
        <f aca="false">0</f>
        <v>0</v>
      </c>
      <c r="G590" s="72" t="n">
        <f aca="false">0</f>
        <v>0</v>
      </c>
      <c r="H590" s="72" t="n">
        <f aca="false">0</f>
        <v>0</v>
      </c>
      <c r="I590" s="72" t="n">
        <f aca="false">0</f>
        <v>0</v>
      </c>
      <c r="J590" s="72" t="n">
        <f aca="false">0</f>
        <v>0</v>
      </c>
      <c r="K590" s="72" t="n">
        <f aca="false">0</f>
        <v>0</v>
      </c>
      <c r="L590" s="72" t="n">
        <f aca="false">0</f>
        <v>0</v>
      </c>
      <c r="M590" s="72" t="n">
        <f aca="false">0</f>
        <v>0</v>
      </c>
      <c r="N590" s="72" t="n">
        <f aca="false">0</f>
        <v>0</v>
      </c>
      <c r="O590" s="72" t="n">
        <f aca="false">0</f>
        <v>0</v>
      </c>
      <c r="P590" s="72" t="n">
        <f aca="false">0</f>
        <v>0</v>
      </c>
      <c r="Q590" s="72" t="n">
        <f aca="false">0</f>
        <v>0</v>
      </c>
      <c r="R590" s="72" t="n">
        <f aca="false">0</f>
        <v>0</v>
      </c>
      <c r="S590" s="72" t="n">
        <f aca="false">0</f>
        <v>0</v>
      </c>
      <c r="T590" s="72" t="n">
        <f aca="false">0</f>
        <v>0</v>
      </c>
      <c r="U590" s="72" t="n">
        <f aca="false">0</f>
        <v>0</v>
      </c>
      <c r="V590" s="72" t="n">
        <f aca="false">0</f>
        <v>0</v>
      </c>
      <c r="W590" s="72" t="n">
        <f aca="false">0</f>
        <v>0</v>
      </c>
      <c r="X590" s="72" t="n">
        <f aca="false">0</f>
        <v>0</v>
      </c>
      <c r="Y590" s="72" t="n">
        <f aca="false">0</f>
        <v>0</v>
      </c>
      <c r="Z590" s="72" t="n">
        <f aca="false">0</f>
        <v>0</v>
      </c>
      <c r="AA590" s="72" t="n">
        <f aca="false">0</f>
        <v>0</v>
      </c>
      <c r="AB590" s="72" t="n">
        <f aca="false">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7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849</v>
      </c>
    </row>
    <row r="3" customFormat="false" ht="15" hidden="false" customHeight="false" outlineLevel="0" collapsed="false">
      <c r="A3" s="49" t="s">
        <v>850</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851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852</v>
      </c>
      <c r="B9" s="58" t="s">
        <v>79</v>
      </c>
      <c r="C9" s="110" t="n">
        <f aca="false">AVERAGE(E9:P9)</f>
        <v>1</v>
      </c>
      <c r="D9" s="110" t="n">
        <f aca="false">AVERAGE(Q9:AB9)</f>
        <v>1</v>
      </c>
      <c r="E9" s="93" t="n">
        <f aca="false">IF(Assumptions!E$99&lt;Client_Register!$P$33,0,IF(Assumptions!E$99&lt;=Client_Register!$Q$33,1,Client_Register!$N$33))</f>
        <v>1</v>
      </c>
      <c r="F9" s="93" t="n">
        <f aca="false">IF(Assumptions!F$99&lt;Client_Register!$P$33,0,IF(Assumptions!F$99&lt;=Client_Register!$Q$33,1,Client_Register!$N$33))</f>
        <v>1</v>
      </c>
      <c r="G9" s="93" t="n">
        <f aca="false">IF(Assumptions!G$99&lt;Client_Register!$P$33,0,IF(Assumptions!G$99&lt;=Client_Register!$Q$33,1,Client_Register!$N$33))</f>
        <v>1</v>
      </c>
      <c r="H9" s="93" t="n">
        <f aca="false">IF(Assumptions!H$99&lt;Client_Register!$P$33,0,IF(Assumptions!H$99&lt;=Client_Register!$Q$33,1,Client_Register!$N$33))</f>
        <v>1</v>
      </c>
      <c r="I9" s="93" t="n">
        <f aca="false">IF(Assumptions!I$99&lt;Client_Register!$P$33,0,IF(Assumptions!I$99&lt;=Client_Register!$Q$33,1,Client_Register!$N$33))</f>
        <v>1</v>
      </c>
      <c r="J9" s="93" t="n">
        <f aca="false">IF(Assumptions!J$99&lt;Client_Register!$P$33,0,IF(Assumptions!J$99&lt;=Client_Register!$Q$33,1,Client_Register!$N$33))</f>
        <v>1</v>
      </c>
      <c r="K9" s="93" t="n">
        <f aca="false">IF(Assumptions!K$99&lt;Client_Register!$P$33,0,IF(Assumptions!K$99&lt;=Client_Register!$Q$33,1,Client_Register!$N$33))</f>
        <v>1</v>
      </c>
      <c r="L9" s="93" t="n">
        <f aca="false">IF(Assumptions!L$99&lt;Client_Register!$P$33,0,IF(Assumptions!L$99&lt;=Client_Register!$Q$33,1,Client_Register!$N$33))</f>
        <v>1</v>
      </c>
      <c r="M9" s="93" t="n">
        <f aca="false">IF(Assumptions!M$99&lt;Client_Register!$P$33,0,IF(Assumptions!M$99&lt;=Client_Register!$Q$33,1,Client_Register!$N$33))</f>
        <v>1</v>
      </c>
      <c r="N9" s="93" t="n">
        <f aca="false">IF(Assumptions!N$99&lt;Client_Register!$P$33,0,IF(Assumptions!N$99&lt;=Client_Register!$Q$33,1,Client_Register!$N$33))</f>
        <v>1</v>
      </c>
      <c r="O9" s="93" t="n">
        <f aca="false">IF(Assumptions!O$99&lt;Client_Register!$P$33,0,IF(Assumptions!O$99&lt;=Client_Register!$Q$33,1,Client_Register!$N$33))</f>
        <v>1</v>
      </c>
      <c r="P9" s="93" t="n">
        <f aca="false">IF(Assumptions!P$99&lt;Client_Register!$P$33,0,IF(Assumptions!P$99&lt;=Client_Register!$Q$33,1,Client_Register!$N$33))</f>
        <v>1</v>
      </c>
      <c r="Q9" s="93" t="n">
        <f aca="false">IF(Assumptions!Q$99&lt;Client_Register!$P$33,0,IF(Assumptions!Q$99&lt;=Client_Register!$Q$33,1,Client_Register!$N$33))</f>
        <v>1</v>
      </c>
      <c r="R9" s="93" t="n">
        <f aca="false">IF(Assumptions!R$99&lt;Client_Register!$P$33,0,IF(Assumptions!R$99&lt;=Client_Register!$Q$33,1,Client_Register!$N$33))</f>
        <v>1</v>
      </c>
      <c r="S9" s="93" t="n">
        <f aca="false">IF(Assumptions!S$99&lt;Client_Register!$P$33,0,IF(Assumptions!S$99&lt;=Client_Register!$Q$33,1,Client_Register!$N$33))</f>
        <v>1</v>
      </c>
      <c r="T9" s="93" t="n">
        <f aca="false">IF(Assumptions!T$99&lt;Client_Register!$P$33,0,IF(Assumptions!T$99&lt;=Client_Register!$Q$33,1,Client_Register!$N$33))</f>
        <v>1</v>
      </c>
      <c r="U9" s="93" t="n">
        <f aca="false">IF(Assumptions!U$99&lt;Client_Register!$P$33,0,IF(Assumptions!U$99&lt;=Client_Register!$Q$33,1,Client_Register!$N$33))</f>
        <v>1</v>
      </c>
      <c r="V9" s="93" t="n">
        <f aca="false">IF(Assumptions!V$99&lt;Client_Register!$P$33,0,IF(Assumptions!V$99&lt;=Client_Register!$Q$33,1,Client_Register!$N$33))</f>
        <v>1</v>
      </c>
      <c r="W9" s="93" t="n">
        <f aca="false">IF(Assumptions!W$99&lt;Client_Register!$P$33,0,IF(Assumptions!W$99&lt;=Client_Register!$Q$33,1,Client_Register!$N$33))</f>
        <v>1</v>
      </c>
      <c r="X9" s="93" t="n">
        <f aca="false">IF(Assumptions!X$99&lt;Client_Register!$P$33,0,IF(Assumptions!X$99&lt;=Client_Register!$Q$33,1,Client_Register!$N$33))</f>
        <v>1</v>
      </c>
      <c r="Y9" s="93" t="n">
        <f aca="false">IF(Assumptions!Y$99&lt;Client_Register!$P$33,0,IF(Assumptions!Y$99&lt;=Client_Register!$Q$33,1,Client_Register!$N$33))</f>
        <v>1</v>
      </c>
      <c r="Z9" s="93" t="n">
        <f aca="false">IF(Assumptions!Z$99&lt;Client_Register!$P$33,0,IF(Assumptions!Z$99&lt;=Client_Register!$Q$33,1,Client_Register!$N$33))</f>
        <v>1</v>
      </c>
      <c r="AA9" s="93" t="n">
        <f aca="false">IF(Assumptions!AA$99&lt;Client_Register!$P$33,0,IF(Assumptions!AA$99&lt;=Client_Register!$Q$33,1,Client_Register!$N$33))</f>
        <v>1</v>
      </c>
      <c r="AB9" s="93" t="n">
        <f aca="false">IF(Assumptions!AB$99&lt;Client_Register!$P$33,0,IF(Assumptions!AB$99&lt;=Client_Register!$Q$33,1,Client_Register!$N$33))</f>
        <v>1</v>
      </c>
    </row>
    <row r="10" customFormat="false" ht="15" hidden="false" customHeight="false" outlineLevel="0" collapsed="false">
      <c r="A10" s="28" t="s">
        <v>853</v>
      </c>
      <c r="B10" s="58" t="s">
        <v>854</v>
      </c>
      <c r="C10" s="59" t="n">
        <f aca="false">SUM(E10:P10)</f>
        <v>504000</v>
      </c>
      <c r="D10" s="59" t="n">
        <f aca="false">SUM(Q10:AB10)</f>
        <v>524160</v>
      </c>
      <c r="E10" s="60" t="n">
        <f aca="false">IF(E$5="A",Inputs_Actuals!E14,Client_Register!$G$33*E9*IF(Assumptions!E$99&gt;Client_Register!$Q$33,1+Assumptions!$F$114,1))</f>
        <v>42000</v>
      </c>
      <c r="F10" s="60" t="n">
        <f aca="false">IF(F$5="A",Inputs_Actuals!F14,Client_Register!$G$33*F9*IF(Assumptions!F$99&gt;Client_Register!$Q$33,1+Assumptions!$F$114,1))</f>
        <v>42000</v>
      </c>
      <c r="G10" s="60" t="n">
        <f aca="false">IF(G$5="A",Inputs_Actuals!G14,Client_Register!$G$33*G9*IF(Assumptions!G$99&gt;Client_Register!$Q$33,1+Assumptions!$F$114,1))</f>
        <v>42000</v>
      </c>
      <c r="H10" s="60" t="n">
        <f aca="false">IF(H$5="A",Inputs_Actuals!H14,Client_Register!$G$33*H9*IF(Assumptions!H$99&gt;Client_Register!$Q$33,1+Assumptions!$F$114,1))</f>
        <v>42000</v>
      </c>
      <c r="I10" s="60" t="n">
        <f aca="false">IF(I$5="A",Inputs_Actuals!I14,Client_Register!$G$33*I9*IF(Assumptions!I$99&gt;Client_Register!$Q$33,1+Assumptions!$F$114,1))</f>
        <v>42000</v>
      </c>
      <c r="J10" s="60" t="n">
        <f aca="false">IF(J$5="A",Inputs_Actuals!J14,Client_Register!$G$33*J9*IF(Assumptions!J$99&gt;Client_Register!$Q$33,1+Assumptions!$F$114,1))</f>
        <v>42000</v>
      </c>
      <c r="K10" s="60" t="n">
        <f aca="false">IF(K$5="A",Inputs_Actuals!K14,Client_Register!$G$33*K9*IF(Assumptions!K$99&gt;Client_Register!$Q$33,1+Assumptions!$F$114,1))</f>
        <v>42000</v>
      </c>
      <c r="L10" s="60" t="n">
        <f aca="false">IF(L$5="A",Inputs_Actuals!L14,Client_Register!$G$33*L9*IF(Assumptions!L$99&gt;Client_Register!$Q$33,1+Assumptions!$F$114,1))</f>
        <v>42000</v>
      </c>
      <c r="M10" s="60" t="n">
        <f aca="false">IF(M$5="A",Inputs_Actuals!M14,Client_Register!$G$33*M9*IF(Assumptions!M$99&gt;Client_Register!$Q$33,1+Assumptions!$F$114,1))</f>
        <v>42000</v>
      </c>
      <c r="N10" s="60" t="n">
        <f aca="false">IF(N$5="A",Inputs_Actuals!N14,Client_Register!$G$33*N9*IF(Assumptions!N$99&gt;Client_Register!$Q$33,1+Assumptions!$F$114,1))</f>
        <v>42000</v>
      </c>
      <c r="O10" s="60" t="n">
        <f aca="false">IF(O$5="A",Inputs_Actuals!O14,Client_Register!$G$33*O9*IF(Assumptions!O$99&gt;Client_Register!$Q$33,1+Assumptions!$F$114,1))</f>
        <v>42000</v>
      </c>
      <c r="P10" s="60" t="n">
        <f aca="false">IF(P$5="A",Inputs_Actuals!P14,Client_Register!$G$33*P9*IF(Assumptions!P$99&gt;Client_Register!$Q$33,1+Assumptions!$F$114,1))</f>
        <v>42000</v>
      </c>
      <c r="Q10" s="60" t="n">
        <f aca="false">IF(Q$5="A",Inputs_Actuals!Q14,Client_Register!$G$33*Q9*IF(Assumptions!Q$99&gt;Client_Register!$Q$33,1+Assumptions!$F$114,1))</f>
        <v>43680</v>
      </c>
      <c r="R10" s="60" t="n">
        <f aca="false">IF(R$5="A",Inputs_Actuals!R14,Client_Register!$G$33*R9*IF(Assumptions!R$99&gt;Client_Register!$Q$33,1+Assumptions!$F$114,1))</f>
        <v>43680</v>
      </c>
      <c r="S10" s="60" t="n">
        <f aca="false">IF(S$5="A",Inputs_Actuals!S14,Client_Register!$G$33*S9*IF(Assumptions!S$99&gt;Client_Register!$Q$33,1+Assumptions!$F$114,1))</f>
        <v>43680</v>
      </c>
      <c r="T10" s="60" t="n">
        <f aca="false">IF(T$5="A",Inputs_Actuals!T14,Client_Register!$G$33*T9*IF(Assumptions!T$99&gt;Client_Register!$Q$33,1+Assumptions!$F$114,1))</f>
        <v>43680</v>
      </c>
      <c r="U10" s="60" t="n">
        <f aca="false">IF(U$5="A",Inputs_Actuals!U14,Client_Register!$G$33*U9*IF(Assumptions!U$99&gt;Client_Register!$Q$33,1+Assumptions!$F$114,1))</f>
        <v>43680</v>
      </c>
      <c r="V10" s="60" t="n">
        <f aca="false">IF(V$5="A",Inputs_Actuals!V14,Client_Register!$G$33*V9*IF(Assumptions!V$99&gt;Client_Register!$Q$33,1+Assumptions!$F$114,1))</f>
        <v>43680</v>
      </c>
      <c r="W10" s="60" t="n">
        <f aca="false">IF(W$5="A",Inputs_Actuals!W14,Client_Register!$G$33*W9*IF(Assumptions!W$99&gt;Client_Register!$Q$33,1+Assumptions!$F$114,1))</f>
        <v>43680</v>
      </c>
      <c r="X10" s="60" t="n">
        <f aca="false">IF(X$5="A",Inputs_Actuals!X14,Client_Register!$G$33*X9*IF(Assumptions!X$99&gt;Client_Register!$Q$33,1+Assumptions!$F$114,1))</f>
        <v>43680</v>
      </c>
      <c r="Y10" s="60" t="n">
        <f aca="false">IF(Y$5="A",Inputs_Actuals!Y14,Client_Register!$G$33*Y9*IF(Assumptions!Y$99&gt;Client_Register!$Q$33,1+Assumptions!$F$114,1))</f>
        <v>43680</v>
      </c>
      <c r="Z10" s="60" t="n">
        <f aca="false">IF(Z$5="A",Inputs_Actuals!Z14,Client_Register!$G$33*Z9*IF(Assumptions!Z$99&gt;Client_Register!$Q$33,1+Assumptions!$F$114,1))</f>
        <v>43680</v>
      </c>
      <c r="AA10" s="60" t="n">
        <f aca="false">IF(AA$5="A",Inputs_Actuals!AA14,Client_Register!$G$33*AA9*IF(Assumptions!AA$99&gt;Client_Register!$Q$33,1+Assumptions!$F$114,1))</f>
        <v>43680</v>
      </c>
      <c r="AB10" s="60" t="n">
        <f aca="false">IF(AB$5="A",Inputs_Actuals!AB14,Client_Register!$G$33*AB9*IF(Assumptions!AB$99&gt;Client_Register!$Q$33,1+Assumptions!$F$114,1))</f>
        <v>43680</v>
      </c>
    </row>
    <row r="11" customFormat="false" ht="15" hidden="false" customHeight="false" outlineLevel="0" collapsed="false">
      <c r="A11" s="28" t="s">
        <v>855</v>
      </c>
      <c r="B11" s="58" t="s">
        <v>856</v>
      </c>
      <c r="C11" s="59" t="n">
        <f aca="false">SUM(E11:P11)</f>
        <v>584250.045699434</v>
      </c>
      <c r="D11" s="59" t="n">
        <f aca="false">SUM(Q11:AB11)</f>
        <v>611993.274799178</v>
      </c>
      <c r="E11" s="60" t="n">
        <f aca="false">E10/FX!E9</f>
        <v>48309.1787439614</v>
      </c>
      <c r="F11" s="60" t="n">
        <f aca="false">F10/FX!F9</f>
        <v>48206.599713056</v>
      </c>
      <c r="G11" s="60" t="n">
        <f aca="false">G10/FX!G9</f>
        <v>48148.0207724318</v>
      </c>
      <c r="H11" s="60" t="n">
        <f aca="false">H10/FX!H9</f>
        <v>48426.7084827451</v>
      </c>
      <c r="I11" s="60" t="n">
        <f aca="false">I10/FX!I9</f>
        <v>48457.4382167663</v>
      </c>
      <c r="J11" s="60" t="n">
        <f aca="false">J10/FX!J9</f>
        <v>48582.995951417</v>
      </c>
      <c r="K11" s="60" t="n">
        <f aca="false">K10/FX!K9</f>
        <v>48908.2969432314</v>
      </c>
      <c r="L11" s="60" t="n">
        <f aca="false">L10/FX!L9</f>
        <v>49059.1162350633</v>
      </c>
      <c r="M11" s="60" t="n">
        <f aca="false">M10/FX!M9</f>
        <v>49037.9226601906</v>
      </c>
      <c r="N11" s="60" t="n">
        <f aca="false">N10/FX!N9</f>
        <v>49037.9226601906</v>
      </c>
      <c r="O11" s="60" t="n">
        <f aca="false">O10/FX!O9</f>
        <v>49037.9226601906</v>
      </c>
      <c r="P11" s="60" t="n">
        <f aca="false">P10/FX!P9</f>
        <v>49037.9226601906</v>
      </c>
      <c r="Q11" s="60" t="n">
        <f aca="false">Q10/FX!Q9</f>
        <v>50999.4395665982</v>
      </c>
      <c r="R11" s="60" t="n">
        <f aca="false">R10/FX!R9</f>
        <v>50999.4395665982</v>
      </c>
      <c r="S11" s="60" t="n">
        <f aca="false">S10/FX!S9</f>
        <v>50999.4395665982</v>
      </c>
      <c r="T11" s="60" t="n">
        <f aca="false">T10/FX!T9</f>
        <v>50999.4395665982</v>
      </c>
      <c r="U11" s="60" t="n">
        <f aca="false">U10/FX!U9</f>
        <v>50999.4395665982</v>
      </c>
      <c r="V11" s="60" t="n">
        <f aca="false">V10/FX!V9</f>
        <v>50999.4395665982</v>
      </c>
      <c r="W11" s="60" t="n">
        <f aca="false">W10/FX!W9</f>
        <v>50999.4395665982</v>
      </c>
      <c r="X11" s="60" t="n">
        <f aca="false">X10/FX!X9</f>
        <v>50999.4395665982</v>
      </c>
      <c r="Y11" s="60" t="n">
        <f aca="false">Y10/FX!Y9</f>
        <v>50999.4395665982</v>
      </c>
      <c r="Z11" s="60" t="n">
        <f aca="false">Z10/FX!Z9</f>
        <v>50999.4395665982</v>
      </c>
      <c r="AA11" s="60" t="n">
        <f aca="false">AA10/FX!AA9</f>
        <v>50999.4395665982</v>
      </c>
      <c r="AB11" s="60" t="n">
        <f aca="false">AB10/FX!AB9</f>
        <v>50999.4395665982</v>
      </c>
    </row>
    <row r="12" customFormat="false" ht="15" hidden="false" customHeight="false" outlineLevel="0" collapsed="false">
      <c r="A12" s="28" t="s">
        <v>857</v>
      </c>
      <c r="B12" s="58" t="s">
        <v>858</v>
      </c>
      <c r="C12" s="66" t="n">
        <f aca="false">SUM(E12:P12)</f>
        <v>5160</v>
      </c>
      <c r="D12" s="66" t="n">
        <f aca="false">SUM(Q12:AB12)</f>
        <v>5160</v>
      </c>
      <c r="E12" s="67" t="n">
        <f aca="false">Client_Register!$H$33*E9</f>
        <v>430</v>
      </c>
      <c r="F12" s="67" t="n">
        <f aca="false">Client_Register!$H$33*F9</f>
        <v>430</v>
      </c>
      <c r="G12" s="67" t="n">
        <f aca="false">Client_Register!$H$33*G9</f>
        <v>430</v>
      </c>
      <c r="H12" s="67" t="n">
        <f aca="false">Client_Register!$H$33*H9</f>
        <v>430</v>
      </c>
      <c r="I12" s="67" t="n">
        <f aca="false">Client_Register!$H$33*I9</f>
        <v>430</v>
      </c>
      <c r="J12" s="67" t="n">
        <f aca="false">Client_Register!$H$33*J9</f>
        <v>430</v>
      </c>
      <c r="K12" s="67" t="n">
        <f aca="false">Client_Register!$H$33*K9</f>
        <v>430</v>
      </c>
      <c r="L12" s="67" t="n">
        <f aca="false">Client_Register!$H$33*L9</f>
        <v>430</v>
      </c>
      <c r="M12" s="67" t="n">
        <f aca="false">Client_Register!$H$33*M9</f>
        <v>430</v>
      </c>
      <c r="N12" s="67" t="n">
        <f aca="false">Client_Register!$H$33*N9</f>
        <v>430</v>
      </c>
      <c r="O12" s="67" t="n">
        <f aca="false">Client_Register!$H$33*O9</f>
        <v>430</v>
      </c>
      <c r="P12" s="67" t="n">
        <f aca="false">Client_Register!$H$33*P9</f>
        <v>430</v>
      </c>
      <c r="Q12" s="67" t="n">
        <f aca="false">Client_Register!$H$33*Q9</f>
        <v>430</v>
      </c>
      <c r="R12" s="67" t="n">
        <f aca="false">Client_Register!$H$33*R9</f>
        <v>430</v>
      </c>
      <c r="S12" s="67" t="n">
        <f aca="false">Client_Register!$H$33*S9</f>
        <v>430</v>
      </c>
      <c r="T12" s="67" t="n">
        <f aca="false">Client_Register!$H$33*T9</f>
        <v>430</v>
      </c>
      <c r="U12" s="67" t="n">
        <f aca="false">Client_Register!$H$33*U9</f>
        <v>430</v>
      </c>
      <c r="V12" s="67" t="n">
        <f aca="false">Client_Register!$H$33*V9</f>
        <v>430</v>
      </c>
      <c r="W12" s="67" t="n">
        <f aca="false">Client_Register!$H$33*W9</f>
        <v>430</v>
      </c>
      <c r="X12" s="67" t="n">
        <f aca="false">Client_Register!$H$33*X9</f>
        <v>430</v>
      </c>
      <c r="Y12" s="67" t="n">
        <f aca="false">Client_Register!$H$33*Y9</f>
        <v>430</v>
      </c>
      <c r="Z12" s="67" t="n">
        <f aca="false">Client_Register!$H$33*Z9</f>
        <v>430</v>
      </c>
      <c r="AA12" s="67" t="n">
        <f aca="false">Client_Register!$H$33*AA9</f>
        <v>430</v>
      </c>
      <c r="AB12" s="67" t="n">
        <f aca="false">Client_Register!$H$33*AB9</f>
        <v>430</v>
      </c>
    </row>
    <row r="13" customFormat="false" ht="15" hidden="false" customHeight="false" outlineLevel="0" collapsed="false">
      <c r="A13" s="28" t="s">
        <v>802</v>
      </c>
      <c r="B13" s="58" t="s">
        <v>859</v>
      </c>
      <c r="C13" s="66" t="n">
        <f aca="false">SUM(E13:P13)</f>
        <v>5866.455</v>
      </c>
      <c r="D13" s="66" t="n">
        <f aca="false">SUM(Q13:AB13)</f>
        <v>5709.465</v>
      </c>
      <c r="E13" s="67" t="n">
        <f aca="false">IF(E$5="A",Inputs_Actuals!E15,E12*(1+Client_Register!$S$33))</f>
        <v>514.8</v>
      </c>
      <c r="F13" s="67" t="n">
        <f aca="false">IF(F$5="A",Inputs_Actuals!F15,F12*(1+Client_Register!$S$33))</f>
        <v>496.4</v>
      </c>
      <c r="G13" s="67" t="n">
        <f aca="false">IF(G$5="A",Inputs_Actuals!G15,G12*(1+Client_Register!$S$33))</f>
        <v>508.5</v>
      </c>
      <c r="H13" s="67" t="n">
        <f aca="false">IF(H$5="A",Inputs_Actuals!H15,H12*(1+Client_Register!$S$33))</f>
        <v>486.3</v>
      </c>
      <c r="I13" s="67" t="n">
        <f aca="false">IF(I$5="A",Inputs_Actuals!I15,I12*(1+Client_Register!$S$33))</f>
        <v>483.1</v>
      </c>
      <c r="J13" s="67" t="n">
        <f aca="false">IF(J$5="A",Inputs_Actuals!J15,J12*(1+Client_Register!$S$33))</f>
        <v>490.1</v>
      </c>
      <c r="K13" s="67" t="n">
        <f aca="false">IF(K$5="A",Inputs_Actuals!K15,K12*(1+Client_Register!$S$33))</f>
        <v>489.4</v>
      </c>
      <c r="L13" s="67" t="n">
        <f aca="false">IF(L$5="A",Inputs_Actuals!L15,L12*(1+Client_Register!$S$33))</f>
        <v>494.7</v>
      </c>
      <c r="M13" s="67" t="n">
        <f aca="false">IF(M$5="A",Inputs_Actuals!M15,M12*(1+Client_Register!$S$33))</f>
        <v>475.78875</v>
      </c>
      <c r="N13" s="67" t="n">
        <f aca="false">IF(N$5="A",Inputs_Actuals!N15,N12*(1+Client_Register!$S$33))</f>
        <v>475.78875</v>
      </c>
      <c r="O13" s="67" t="n">
        <f aca="false">IF(O$5="A",Inputs_Actuals!O15,O12*(1+Client_Register!$S$33))</f>
        <v>475.78875</v>
      </c>
      <c r="P13" s="67" t="n">
        <f aca="false">IF(P$5="A",Inputs_Actuals!P15,P12*(1+Client_Register!$S$33))</f>
        <v>475.78875</v>
      </c>
      <c r="Q13" s="67" t="n">
        <f aca="false">IF(Q$5="A",Inputs_Actuals!Q15,Q12*(1+Client_Register!$S$33))</f>
        <v>475.78875</v>
      </c>
      <c r="R13" s="67" t="n">
        <f aca="false">IF(R$5="A",Inputs_Actuals!R15,R12*(1+Client_Register!$S$33))</f>
        <v>475.78875</v>
      </c>
      <c r="S13" s="67" t="n">
        <f aca="false">IF(S$5="A",Inputs_Actuals!S15,S12*(1+Client_Register!$S$33))</f>
        <v>475.78875</v>
      </c>
      <c r="T13" s="67" t="n">
        <f aca="false">IF(T$5="A",Inputs_Actuals!T15,T12*(1+Client_Register!$S$33))</f>
        <v>475.78875</v>
      </c>
      <c r="U13" s="67" t="n">
        <f aca="false">IF(U$5="A",Inputs_Actuals!U15,U12*(1+Client_Register!$S$33))</f>
        <v>475.78875</v>
      </c>
      <c r="V13" s="67" t="n">
        <f aca="false">IF(V$5="A",Inputs_Actuals!V15,V12*(1+Client_Register!$S$33))</f>
        <v>475.78875</v>
      </c>
      <c r="W13" s="67" t="n">
        <f aca="false">IF(W$5="A",Inputs_Actuals!W15,W12*(1+Client_Register!$S$33))</f>
        <v>475.78875</v>
      </c>
      <c r="X13" s="67" t="n">
        <f aca="false">IF(X$5="A",Inputs_Actuals!X15,X12*(1+Client_Register!$S$33))</f>
        <v>475.78875</v>
      </c>
      <c r="Y13" s="67" t="n">
        <f aca="false">IF(Y$5="A",Inputs_Actuals!Y15,Y12*(1+Client_Register!$S$33))</f>
        <v>475.78875</v>
      </c>
      <c r="Z13" s="67" t="n">
        <f aca="false">IF(Z$5="A",Inputs_Actuals!Z15,Z12*(1+Client_Register!$S$33))</f>
        <v>475.78875</v>
      </c>
      <c r="AA13" s="67" t="n">
        <f aca="false">IF(AA$5="A",Inputs_Actuals!AA15,AA12*(1+Client_Register!$S$33))</f>
        <v>475.78875</v>
      </c>
      <c r="AB13" s="67" t="n">
        <f aca="false">IF(AB$5="A",Inputs_Actuals!AB15,AB12*(1+Client_Register!$S$33))</f>
        <v>475.78875</v>
      </c>
    </row>
    <row r="14" customFormat="false" ht="15" hidden="false" customHeight="false" outlineLevel="0" collapsed="false">
      <c r="A14" s="28" t="s">
        <v>860</v>
      </c>
      <c r="B14" s="58" t="s">
        <v>861</v>
      </c>
      <c r="C14" s="66" t="n">
        <f aca="false">SUM(E14:P14)</f>
        <v>706.455</v>
      </c>
      <c r="D14" s="66" t="n">
        <f aca="false">SUM(Q14:AB14)</f>
        <v>549.464999999999</v>
      </c>
      <c r="E14" s="72" t="n">
        <f aca="false">E13-E12</f>
        <v>84.8</v>
      </c>
      <c r="F14" s="72" t="n">
        <f aca="false">F13-F12</f>
        <v>66.4</v>
      </c>
      <c r="G14" s="72" t="n">
        <f aca="false">G13-G12</f>
        <v>78.5</v>
      </c>
      <c r="H14" s="72" t="n">
        <f aca="false">H13-H12</f>
        <v>56.3</v>
      </c>
      <c r="I14" s="72" t="n">
        <f aca="false">I13-I12</f>
        <v>53.1</v>
      </c>
      <c r="J14" s="72" t="n">
        <f aca="false">J13-J12</f>
        <v>60.1</v>
      </c>
      <c r="K14" s="72" t="n">
        <f aca="false">K13-K12</f>
        <v>59.4</v>
      </c>
      <c r="L14" s="72" t="n">
        <f aca="false">L13-L12</f>
        <v>64.7</v>
      </c>
      <c r="M14" s="72" t="n">
        <f aca="false">M13-M12</f>
        <v>45.7887499999999</v>
      </c>
      <c r="N14" s="72" t="n">
        <f aca="false">N13-N12</f>
        <v>45.7887499999999</v>
      </c>
      <c r="O14" s="72" t="n">
        <f aca="false">O13-O12</f>
        <v>45.7887499999999</v>
      </c>
      <c r="P14" s="72" t="n">
        <f aca="false">P13-P12</f>
        <v>45.7887499999999</v>
      </c>
      <c r="Q14" s="72" t="n">
        <f aca="false">Q13-Q12</f>
        <v>45.7887499999999</v>
      </c>
      <c r="R14" s="72" t="n">
        <f aca="false">R13-R12</f>
        <v>45.7887499999999</v>
      </c>
      <c r="S14" s="72" t="n">
        <f aca="false">S13-S12</f>
        <v>45.7887499999999</v>
      </c>
      <c r="T14" s="72" t="n">
        <f aca="false">T13-T12</f>
        <v>45.7887499999999</v>
      </c>
      <c r="U14" s="72" t="n">
        <f aca="false">U13-U12</f>
        <v>45.7887499999999</v>
      </c>
      <c r="V14" s="72" t="n">
        <f aca="false">V13-V12</f>
        <v>45.7887499999999</v>
      </c>
      <c r="W14" s="72" t="n">
        <f aca="false">W13-W12</f>
        <v>45.7887499999999</v>
      </c>
      <c r="X14" s="72" t="n">
        <f aca="false">X13-X12</f>
        <v>45.7887499999999</v>
      </c>
      <c r="Y14" s="72" t="n">
        <f aca="false">Y13-Y12</f>
        <v>45.7887499999999</v>
      </c>
      <c r="Z14" s="72" t="n">
        <f aca="false">Z13-Z12</f>
        <v>45.7887499999999</v>
      </c>
      <c r="AA14" s="72" t="n">
        <f aca="false">AA13-AA12</f>
        <v>45.7887499999999</v>
      </c>
      <c r="AB14" s="72" t="n">
        <f aca="false">AB13-AB12</f>
        <v>45.7887499999999</v>
      </c>
    </row>
    <row r="15" customFormat="false" ht="15" hidden="false" customHeight="false" outlineLevel="0" collapsed="false">
      <c r="A15" s="28" t="s">
        <v>862</v>
      </c>
      <c r="B15" s="58" t="s">
        <v>863</v>
      </c>
      <c r="C15" s="59" t="n">
        <f aca="false">SUM(E15:P15)</f>
        <v>38201.0541597238</v>
      </c>
      <c r="D15" s="59" t="n">
        <f aca="false">SUM(Q15:AB15)</f>
        <v>31048.9679087088</v>
      </c>
      <c r="E15" s="60" t="n">
        <f aca="false">E14*Utilisation!E90</f>
        <v>4585.49998619102</v>
      </c>
      <c r="F15" s="60" t="n">
        <f aca="false">F14*Utilisation!F90</f>
        <v>3590.53300805524</v>
      </c>
      <c r="G15" s="60" t="n">
        <f aca="false">G14*Utilisation!G90</f>
        <v>4244.8319447641</v>
      </c>
      <c r="H15" s="60" t="n">
        <f aca="false">H14*Utilisation!H90</f>
        <v>3044.38265592635</v>
      </c>
      <c r="I15" s="60" t="n">
        <f aca="false">I14*Utilisation!I90</f>
        <v>2871.34492059839</v>
      </c>
      <c r="J15" s="60" t="n">
        <f aca="false">J14*Utilisation!J90</f>
        <v>3249.86496662831</v>
      </c>
      <c r="K15" s="60" t="n">
        <f aca="false">K14*Utilisation!K90</f>
        <v>3212.01296202532</v>
      </c>
      <c r="L15" s="60" t="n">
        <f aca="false">L14*Utilisation!L90</f>
        <v>3498.60671116226</v>
      </c>
      <c r="M15" s="60" t="n">
        <f aca="false">M14*Utilisation!M90</f>
        <v>2475.99425109321</v>
      </c>
      <c r="N15" s="60" t="n">
        <f aca="false">N14*Utilisation!N90</f>
        <v>2475.99425109321</v>
      </c>
      <c r="O15" s="60" t="n">
        <f aca="false">O14*Utilisation!O90</f>
        <v>2475.99425109321</v>
      </c>
      <c r="P15" s="60" t="n">
        <f aca="false">P14*Utilisation!P90</f>
        <v>2475.99425109321</v>
      </c>
      <c r="Q15" s="60" t="n">
        <f aca="false">Q14*Utilisation!Q90</f>
        <v>2587.4139923924</v>
      </c>
      <c r="R15" s="60" t="n">
        <f aca="false">R14*Utilisation!R90</f>
        <v>2587.4139923924</v>
      </c>
      <c r="S15" s="60" t="n">
        <f aca="false">S14*Utilisation!S90</f>
        <v>2587.4139923924</v>
      </c>
      <c r="T15" s="60" t="n">
        <f aca="false">T14*Utilisation!T90</f>
        <v>2587.4139923924</v>
      </c>
      <c r="U15" s="60" t="n">
        <f aca="false">U14*Utilisation!U90</f>
        <v>2587.4139923924</v>
      </c>
      <c r="V15" s="60" t="n">
        <f aca="false">V14*Utilisation!V90</f>
        <v>2587.4139923924</v>
      </c>
      <c r="W15" s="60" t="n">
        <f aca="false">W14*Utilisation!W90</f>
        <v>2587.4139923924</v>
      </c>
      <c r="X15" s="60" t="n">
        <f aca="false">X14*Utilisation!X90</f>
        <v>2587.4139923924</v>
      </c>
      <c r="Y15" s="60" t="n">
        <f aca="false">Y14*Utilisation!Y90</f>
        <v>2587.4139923924</v>
      </c>
      <c r="Z15" s="60" t="n">
        <f aca="false">Z14*Utilisation!Z90</f>
        <v>2587.4139923924</v>
      </c>
      <c r="AA15" s="60" t="n">
        <f aca="false">AA14*Utilisation!AA90</f>
        <v>2587.4139923924</v>
      </c>
      <c r="AB15" s="60" t="n">
        <f aca="false">AB14*Utilisation!AB90</f>
        <v>2587.4139923924</v>
      </c>
    </row>
    <row r="16" customFormat="false" ht="15" hidden="false" customHeight="false" outlineLevel="0" collapsed="false">
      <c r="A16" s="28" t="s">
        <v>864</v>
      </c>
      <c r="B16" s="58" t="s">
        <v>865</v>
      </c>
      <c r="C16" s="59" t="n">
        <f aca="false">SUM(E16:P16)</f>
        <v>504000</v>
      </c>
      <c r="D16" s="59" t="n">
        <f aca="false">SUM(Q16:AB16)</f>
        <v>524160</v>
      </c>
      <c r="E16" s="60" t="n">
        <f aca="false">IF(E$5="A",Inputs_Actuals!E16,E10)</f>
        <v>42000</v>
      </c>
      <c r="F16" s="60" t="n">
        <f aca="false">IF(F$5="A",Inputs_Actuals!F16,F10)</f>
        <v>42000</v>
      </c>
      <c r="G16" s="60" t="n">
        <f aca="false">IF(G$5="A",Inputs_Actuals!G16,G10)</f>
        <v>42000</v>
      </c>
      <c r="H16" s="60" t="n">
        <f aca="false">IF(H$5="A",Inputs_Actuals!H16,H10)</f>
        <v>42000</v>
      </c>
      <c r="I16" s="60" t="n">
        <f aca="false">IF(I$5="A",Inputs_Actuals!I16,I10)</f>
        <v>42000</v>
      </c>
      <c r="J16" s="60" t="n">
        <f aca="false">IF(J$5="A",Inputs_Actuals!J16,J10)</f>
        <v>42000</v>
      </c>
      <c r="K16" s="60" t="n">
        <f aca="false">IF(K$5="A",Inputs_Actuals!K16,K10)</f>
        <v>42000</v>
      </c>
      <c r="L16" s="60" t="n">
        <f aca="false">IF(L$5="A",Inputs_Actuals!L16,L10)</f>
        <v>42000</v>
      </c>
      <c r="M16" s="60" t="n">
        <f aca="false">IF(M$5="A",Inputs_Actuals!M16,M10)</f>
        <v>42000</v>
      </c>
      <c r="N16" s="60" t="n">
        <f aca="false">IF(N$5="A",Inputs_Actuals!N16,N10)</f>
        <v>42000</v>
      </c>
      <c r="O16" s="60" t="n">
        <f aca="false">IF(O$5="A",Inputs_Actuals!O16,O10)</f>
        <v>42000</v>
      </c>
      <c r="P16" s="60" t="n">
        <f aca="false">IF(P$5="A",Inputs_Actuals!P16,P10)</f>
        <v>42000</v>
      </c>
      <c r="Q16" s="60" t="n">
        <f aca="false">IF(Q$5="A",Inputs_Actuals!Q16,Q10)</f>
        <v>43680</v>
      </c>
      <c r="R16" s="60" t="n">
        <f aca="false">IF(R$5="A",Inputs_Actuals!R16,R10)</f>
        <v>43680</v>
      </c>
      <c r="S16" s="60" t="n">
        <f aca="false">IF(S$5="A",Inputs_Actuals!S16,S10)</f>
        <v>43680</v>
      </c>
      <c r="T16" s="60" t="n">
        <f aca="false">IF(T$5="A",Inputs_Actuals!T16,T10)</f>
        <v>43680</v>
      </c>
      <c r="U16" s="60" t="n">
        <f aca="false">IF(U$5="A",Inputs_Actuals!U16,U10)</f>
        <v>43680</v>
      </c>
      <c r="V16" s="60" t="n">
        <f aca="false">IF(V$5="A",Inputs_Actuals!V16,V10)</f>
        <v>43680</v>
      </c>
      <c r="W16" s="60" t="n">
        <f aca="false">IF(W$5="A",Inputs_Actuals!W16,W10)</f>
        <v>43680</v>
      </c>
      <c r="X16" s="60" t="n">
        <f aca="false">IF(X$5="A",Inputs_Actuals!X16,X10)</f>
        <v>43680</v>
      </c>
      <c r="Y16" s="60" t="n">
        <f aca="false">IF(Y$5="A",Inputs_Actuals!Y16,Y10)</f>
        <v>43680</v>
      </c>
      <c r="Z16" s="60" t="n">
        <f aca="false">IF(Z$5="A",Inputs_Actuals!Z16,Z10)</f>
        <v>43680</v>
      </c>
      <c r="AA16" s="60" t="n">
        <f aca="false">IF(AA$5="A",Inputs_Actuals!AA16,AA10)</f>
        <v>43680</v>
      </c>
      <c r="AB16" s="60" t="n">
        <f aca="false">IF(AB$5="A",Inputs_Actuals!AB16,AB10)</f>
        <v>43680</v>
      </c>
    </row>
    <row r="18" customFormat="false" ht="15" hidden="false" customHeight="false" outlineLevel="0" collapsed="false">
      <c r="A18" s="22" t="s">
        <v>866</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row>
    <row r="19" customFormat="false" ht="15" hidden="false" customHeight="false" outlineLevel="0" collapsed="false">
      <c r="A19" s="28" t="s">
        <v>852</v>
      </c>
      <c r="B19" s="58" t="s">
        <v>79</v>
      </c>
      <c r="C19" s="110" t="n">
        <f aca="false">AVERAGE(E19:P19)</f>
        <v>1</v>
      </c>
      <c r="D19" s="110" t="n">
        <f aca="false">AVERAGE(Q19:AB19)</f>
        <v>0.925</v>
      </c>
      <c r="E19" s="93" t="n">
        <f aca="false">IF(Assumptions!E$99&lt;Client_Register!$P$34,0,IF(Assumptions!E$99&lt;=Client_Register!$Q$34,1,Client_Register!$N$34))</f>
        <v>1</v>
      </c>
      <c r="F19" s="93" t="n">
        <f aca="false">IF(Assumptions!F$99&lt;Client_Register!$P$34,0,IF(Assumptions!F$99&lt;=Client_Register!$Q$34,1,Client_Register!$N$34))</f>
        <v>1</v>
      </c>
      <c r="G19" s="93" t="n">
        <f aca="false">IF(Assumptions!G$99&lt;Client_Register!$P$34,0,IF(Assumptions!G$99&lt;=Client_Register!$Q$34,1,Client_Register!$N$34))</f>
        <v>1</v>
      </c>
      <c r="H19" s="93" t="n">
        <f aca="false">IF(Assumptions!H$99&lt;Client_Register!$P$34,0,IF(Assumptions!H$99&lt;=Client_Register!$Q$34,1,Client_Register!$N$34))</f>
        <v>1</v>
      </c>
      <c r="I19" s="93" t="n">
        <f aca="false">IF(Assumptions!I$99&lt;Client_Register!$P$34,0,IF(Assumptions!I$99&lt;=Client_Register!$Q$34,1,Client_Register!$N$34))</f>
        <v>1</v>
      </c>
      <c r="J19" s="93" t="n">
        <f aca="false">IF(Assumptions!J$99&lt;Client_Register!$P$34,0,IF(Assumptions!J$99&lt;=Client_Register!$Q$34,1,Client_Register!$N$34))</f>
        <v>1</v>
      </c>
      <c r="K19" s="93" t="n">
        <f aca="false">IF(Assumptions!K$99&lt;Client_Register!$P$34,0,IF(Assumptions!K$99&lt;=Client_Register!$Q$34,1,Client_Register!$N$34))</f>
        <v>1</v>
      </c>
      <c r="L19" s="93" t="n">
        <f aca="false">IF(Assumptions!L$99&lt;Client_Register!$P$34,0,IF(Assumptions!L$99&lt;=Client_Register!$Q$34,1,Client_Register!$N$34))</f>
        <v>1</v>
      </c>
      <c r="M19" s="93" t="n">
        <f aca="false">IF(Assumptions!M$99&lt;Client_Register!$P$34,0,IF(Assumptions!M$99&lt;=Client_Register!$Q$34,1,Client_Register!$N$34))</f>
        <v>1</v>
      </c>
      <c r="N19" s="93" t="n">
        <f aca="false">IF(Assumptions!N$99&lt;Client_Register!$P$34,0,IF(Assumptions!N$99&lt;=Client_Register!$Q$34,1,Client_Register!$N$34))</f>
        <v>1</v>
      </c>
      <c r="O19" s="93" t="n">
        <f aca="false">IF(Assumptions!O$99&lt;Client_Register!$P$34,0,IF(Assumptions!O$99&lt;=Client_Register!$Q$34,1,Client_Register!$N$34))</f>
        <v>1</v>
      </c>
      <c r="P19" s="93" t="n">
        <f aca="false">IF(Assumptions!P$99&lt;Client_Register!$P$34,0,IF(Assumptions!P$99&lt;=Client_Register!$Q$34,1,Client_Register!$N$34))</f>
        <v>1</v>
      </c>
      <c r="Q19" s="93" t="n">
        <f aca="false">IF(Assumptions!Q$99&lt;Client_Register!$P$34,0,IF(Assumptions!Q$99&lt;=Client_Register!$Q$34,1,Client_Register!$N$34))</f>
        <v>1</v>
      </c>
      <c r="R19" s="93" t="n">
        <f aca="false">IF(Assumptions!R$99&lt;Client_Register!$P$34,0,IF(Assumptions!R$99&lt;=Client_Register!$Q$34,1,Client_Register!$N$34))</f>
        <v>1</v>
      </c>
      <c r="S19" s="93" t="n">
        <f aca="false">IF(Assumptions!S$99&lt;Client_Register!$P$34,0,IF(Assumptions!S$99&lt;=Client_Register!$Q$34,1,Client_Register!$N$34))</f>
        <v>1</v>
      </c>
      <c r="T19" s="93" t="n">
        <f aca="false">IF(Assumptions!T$99&lt;Client_Register!$P$34,0,IF(Assumptions!T$99&lt;=Client_Register!$Q$34,1,Client_Register!$N$34))</f>
        <v>0.9</v>
      </c>
      <c r="U19" s="93" t="n">
        <f aca="false">IF(Assumptions!U$99&lt;Client_Register!$P$34,0,IF(Assumptions!U$99&lt;=Client_Register!$Q$34,1,Client_Register!$N$34))</f>
        <v>0.9</v>
      </c>
      <c r="V19" s="93" t="n">
        <f aca="false">IF(Assumptions!V$99&lt;Client_Register!$P$34,0,IF(Assumptions!V$99&lt;=Client_Register!$Q$34,1,Client_Register!$N$34))</f>
        <v>0.9</v>
      </c>
      <c r="W19" s="93" t="n">
        <f aca="false">IF(Assumptions!W$99&lt;Client_Register!$P$34,0,IF(Assumptions!W$99&lt;=Client_Register!$Q$34,1,Client_Register!$N$34))</f>
        <v>0.9</v>
      </c>
      <c r="X19" s="93" t="n">
        <f aca="false">IF(Assumptions!X$99&lt;Client_Register!$P$34,0,IF(Assumptions!X$99&lt;=Client_Register!$Q$34,1,Client_Register!$N$34))</f>
        <v>0.9</v>
      </c>
      <c r="Y19" s="93" t="n">
        <f aca="false">IF(Assumptions!Y$99&lt;Client_Register!$P$34,0,IF(Assumptions!Y$99&lt;=Client_Register!$Q$34,1,Client_Register!$N$34))</f>
        <v>0.9</v>
      </c>
      <c r="Z19" s="93" t="n">
        <f aca="false">IF(Assumptions!Z$99&lt;Client_Register!$P$34,0,IF(Assumptions!Z$99&lt;=Client_Register!$Q$34,1,Client_Register!$N$34))</f>
        <v>0.9</v>
      </c>
      <c r="AA19" s="93" t="n">
        <f aca="false">IF(Assumptions!AA$99&lt;Client_Register!$P$34,0,IF(Assumptions!AA$99&lt;=Client_Register!$Q$34,1,Client_Register!$N$34))</f>
        <v>0.9</v>
      </c>
      <c r="AB19" s="93" t="n">
        <f aca="false">IF(Assumptions!AB$99&lt;Client_Register!$P$34,0,IF(Assumptions!AB$99&lt;=Client_Register!$Q$34,1,Client_Register!$N$34))</f>
        <v>0.9</v>
      </c>
    </row>
    <row r="20" customFormat="false" ht="15" hidden="false" customHeight="false" outlineLevel="0" collapsed="false">
      <c r="A20" s="28" t="s">
        <v>853</v>
      </c>
      <c r="B20" s="58" t="s">
        <v>854</v>
      </c>
      <c r="C20" s="59" t="n">
        <f aca="false">SUM(E20:P20)</f>
        <v>180000</v>
      </c>
      <c r="D20" s="59" t="n">
        <f aca="false">SUM(Q20:AB20)</f>
        <v>171360</v>
      </c>
      <c r="E20" s="60" t="n">
        <f aca="false">IF(E$5="A",Inputs_Actuals!E17,Client_Register!$G$34*E19*IF(Assumptions!E$99&gt;Client_Register!$Q$34,1+Assumptions!$F$114,1))</f>
        <v>15000</v>
      </c>
      <c r="F20" s="60" t="n">
        <f aca="false">IF(F$5="A",Inputs_Actuals!F17,Client_Register!$G$34*F19*IF(Assumptions!F$99&gt;Client_Register!$Q$34,1+Assumptions!$F$114,1))</f>
        <v>15000</v>
      </c>
      <c r="G20" s="60" t="n">
        <f aca="false">IF(G$5="A",Inputs_Actuals!G17,Client_Register!$G$34*G19*IF(Assumptions!G$99&gt;Client_Register!$Q$34,1+Assumptions!$F$114,1))</f>
        <v>15000</v>
      </c>
      <c r="H20" s="60" t="n">
        <f aca="false">IF(H$5="A",Inputs_Actuals!H17,Client_Register!$G$34*H19*IF(Assumptions!H$99&gt;Client_Register!$Q$34,1+Assumptions!$F$114,1))</f>
        <v>15000</v>
      </c>
      <c r="I20" s="60" t="n">
        <f aca="false">IF(I$5="A",Inputs_Actuals!I17,Client_Register!$G$34*I19*IF(Assumptions!I$99&gt;Client_Register!$Q$34,1+Assumptions!$F$114,1))</f>
        <v>15000</v>
      </c>
      <c r="J20" s="60" t="n">
        <f aca="false">IF(J$5="A",Inputs_Actuals!J17,Client_Register!$G$34*J19*IF(Assumptions!J$99&gt;Client_Register!$Q$34,1+Assumptions!$F$114,1))</f>
        <v>15000</v>
      </c>
      <c r="K20" s="60" t="n">
        <f aca="false">IF(K$5="A",Inputs_Actuals!K17,Client_Register!$G$34*K19*IF(Assumptions!K$99&gt;Client_Register!$Q$34,1+Assumptions!$F$114,1))</f>
        <v>15000</v>
      </c>
      <c r="L20" s="60" t="n">
        <f aca="false">IF(L$5="A",Inputs_Actuals!L17,Client_Register!$G$34*L19*IF(Assumptions!L$99&gt;Client_Register!$Q$34,1+Assumptions!$F$114,1))</f>
        <v>15000</v>
      </c>
      <c r="M20" s="60" t="n">
        <f aca="false">IF(M$5="A",Inputs_Actuals!M17,Client_Register!$G$34*M19*IF(Assumptions!M$99&gt;Client_Register!$Q$34,1+Assumptions!$F$114,1))</f>
        <v>15000</v>
      </c>
      <c r="N20" s="60" t="n">
        <f aca="false">IF(N$5="A",Inputs_Actuals!N17,Client_Register!$G$34*N19*IF(Assumptions!N$99&gt;Client_Register!$Q$34,1+Assumptions!$F$114,1))</f>
        <v>15000</v>
      </c>
      <c r="O20" s="60" t="n">
        <f aca="false">IF(O$5="A",Inputs_Actuals!O17,Client_Register!$G$34*O19*IF(Assumptions!O$99&gt;Client_Register!$Q$34,1+Assumptions!$F$114,1))</f>
        <v>15000</v>
      </c>
      <c r="P20" s="60" t="n">
        <f aca="false">IF(P$5="A",Inputs_Actuals!P17,Client_Register!$G$34*P19*IF(Assumptions!P$99&gt;Client_Register!$Q$34,1+Assumptions!$F$114,1))</f>
        <v>15000</v>
      </c>
      <c r="Q20" s="60" t="n">
        <f aca="false">IF(Q$5="A",Inputs_Actuals!Q17,Client_Register!$G$34*Q19*IF(Assumptions!Q$99&gt;Client_Register!$Q$34,1+Assumptions!$F$114,1))</f>
        <v>15000</v>
      </c>
      <c r="R20" s="60" t="n">
        <f aca="false">IF(R$5="A",Inputs_Actuals!R17,Client_Register!$G$34*R19*IF(Assumptions!R$99&gt;Client_Register!$Q$34,1+Assumptions!$F$114,1))</f>
        <v>15000</v>
      </c>
      <c r="S20" s="60" t="n">
        <f aca="false">IF(S$5="A",Inputs_Actuals!S17,Client_Register!$G$34*S19*IF(Assumptions!S$99&gt;Client_Register!$Q$34,1+Assumptions!$F$114,1))</f>
        <v>15000</v>
      </c>
      <c r="T20" s="60" t="n">
        <f aca="false">IF(T$5="A",Inputs_Actuals!T17,Client_Register!$G$34*T19*IF(Assumptions!T$99&gt;Client_Register!$Q$34,1+Assumptions!$F$114,1))</f>
        <v>14040</v>
      </c>
      <c r="U20" s="60" t="n">
        <f aca="false">IF(U$5="A",Inputs_Actuals!U17,Client_Register!$G$34*U19*IF(Assumptions!U$99&gt;Client_Register!$Q$34,1+Assumptions!$F$114,1))</f>
        <v>14040</v>
      </c>
      <c r="V20" s="60" t="n">
        <f aca="false">IF(V$5="A",Inputs_Actuals!V17,Client_Register!$G$34*V19*IF(Assumptions!V$99&gt;Client_Register!$Q$34,1+Assumptions!$F$114,1))</f>
        <v>14040</v>
      </c>
      <c r="W20" s="60" t="n">
        <f aca="false">IF(W$5="A",Inputs_Actuals!W17,Client_Register!$G$34*W19*IF(Assumptions!W$99&gt;Client_Register!$Q$34,1+Assumptions!$F$114,1))</f>
        <v>14040</v>
      </c>
      <c r="X20" s="60" t="n">
        <f aca="false">IF(X$5="A",Inputs_Actuals!X17,Client_Register!$G$34*X19*IF(Assumptions!X$99&gt;Client_Register!$Q$34,1+Assumptions!$F$114,1))</f>
        <v>14040</v>
      </c>
      <c r="Y20" s="60" t="n">
        <f aca="false">IF(Y$5="A",Inputs_Actuals!Y17,Client_Register!$G$34*Y19*IF(Assumptions!Y$99&gt;Client_Register!$Q$34,1+Assumptions!$F$114,1))</f>
        <v>14040</v>
      </c>
      <c r="Z20" s="60" t="n">
        <f aca="false">IF(Z$5="A",Inputs_Actuals!Z17,Client_Register!$G$34*Z19*IF(Assumptions!Z$99&gt;Client_Register!$Q$34,1+Assumptions!$F$114,1))</f>
        <v>14040</v>
      </c>
      <c r="AA20" s="60" t="n">
        <f aca="false">IF(AA$5="A",Inputs_Actuals!AA17,Client_Register!$G$34*AA19*IF(Assumptions!AA$99&gt;Client_Register!$Q$34,1+Assumptions!$F$114,1))</f>
        <v>14040</v>
      </c>
      <c r="AB20" s="60" t="n">
        <f aca="false">IF(AB$5="A",Inputs_Actuals!AB17,Client_Register!$G$34*AB19*IF(Assumptions!AB$99&gt;Client_Register!$Q$34,1+Assumptions!$F$114,1))</f>
        <v>14040</v>
      </c>
    </row>
    <row r="21" customFormat="false" ht="15" hidden="false" customHeight="false" outlineLevel="0" collapsed="false">
      <c r="A21" s="28" t="s">
        <v>855</v>
      </c>
      <c r="B21" s="58" t="s">
        <v>856</v>
      </c>
      <c r="C21" s="59" t="n">
        <f aca="false">SUM(E21:P21)</f>
        <v>208660.730606941</v>
      </c>
      <c r="D21" s="59" t="n">
        <f aca="false">SUM(Q21:AB21)</f>
        <v>200074.724453577</v>
      </c>
      <c r="E21" s="60" t="n">
        <f aca="false">E20/FX!E9</f>
        <v>17253.2781228433</v>
      </c>
      <c r="F21" s="60" t="n">
        <f aca="false">F20/FX!F9</f>
        <v>17216.6427546628</v>
      </c>
      <c r="G21" s="60" t="n">
        <f aca="false">G20/FX!G9</f>
        <v>17195.7217044399</v>
      </c>
      <c r="H21" s="60" t="n">
        <f aca="false">H20/FX!H9</f>
        <v>17295.2530295518</v>
      </c>
      <c r="I21" s="60" t="n">
        <f aca="false">I20/FX!I9</f>
        <v>17306.2279345594</v>
      </c>
      <c r="J21" s="60" t="n">
        <f aca="false">J20/FX!J9</f>
        <v>17351.0699826489</v>
      </c>
      <c r="K21" s="60" t="n">
        <f aca="false">K20/FX!K9</f>
        <v>17467.2489082969</v>
      </c>
      <c r="L21" s="60" t="n">
        <f aca="false">L20/FX!L9</f>
        <v>17521.112941094</v>
      </c>
      <c r="M21" s="60" t="n">
        <f aca="false">M20/FX!M9</f>
        <v>17513.5438072109</v>
      </c>
      <c r="N21" s="60" t="n">
        <f aca="false">N20/FX!N9</f>
        <v>17513.5438072109</v>
      </c>
      <c r="O21" s="60" t="n">
        <f aca="false">O20/FX!O9</f>
        <v>17513.5438072109</v>
      </c>
      <c r="P21" s="60" t="n">
        <f aca="false">P20/FX!P9</f>
        <v>17513.5438072109</v>
      </c>
      <c r="Q21" s="60" t="n">
        <f aca="false">Q20/FX!Q9</f>
        <v>17513.5438072109</v>
      </c>
      <c r="R21" s="60" t="n">
        <f aca="false">R20/FX!R9</f>
        <v>17513.5438072109</v>
      </c>
      <c r="S21" s="60" t="n">
        <f aca="false">S20/FX!S9</f>
        <v>17513.5438072109</v>
      </c>
      <c r="T21" s="60" t="n">
        <f aca="false">T20/FX!T9</f>
        <v>16392.6770035494</v>
      </c>
      <c r="U21" s="60" t="n">
        <f aca="false">U20/FX!U9</f>
        <v>16392.6770035494</v>
      </c>
      <c r="V21" s="60" t="n">
        <f aca="false">V20/FX!V9</f>
        <v>16392.6770035494</v>
      </c>
      <c r="W21" s="60" t="n">
        <f aca="false">W20/FX!W9</f>
        <v>16392.6770035494</v>
      </c>
      <c r="X21" s="60" t="n">
        <f aca="false">X20/FX!X9</f>
        <v>16392.6770035494</v>
      </c>
      <c r="Y21" s="60" t="n">
        <f aca="false">Y20/FX!Y9</f>
        <v>16392.6770035494</v>
      </c>
      <c r="Z21" s="60" t="n">
        <f aca="false">Z20/FX!Z9</f>
        <v>16392.6770035494</v>
      </c>
      <c r="AA21" s="60" t="n">
        <f aca="false">AA20/FX!AA9</f>
        <v>16392.6770035494</v>
      </c>
      <c r="AB21" s="60" t="n">
        <f aca="false">AB20/FX!AB9</f>
        <v>16392.6770035494</v>
      </c>
    </row>
    <row r="22" customFormat="false" ht="15" hidden="false" customHeight="false" outlineLevel="0" collapsed="false">
      <c r="A22" s="28" t="s">
        <v>857</v>
      </c>
      <c r="B22" s="58" t="s">
        <v>858</v>
      </c>
      <c r="C22" s="66" t="n">
        <f aca="false">SUM(E22:P22)</f>
        <v>2160</v>
      </c>
      <c r="D22" s="66" t="n">
        <f aca="false">SUM(Q22:AB22)</f>
        <v>1998</v>
      </c>
      <c r="E22" s="67" t="n">
        <f aca="false">Client_Register!$H$34*E19</f>
        <v>180</v>
      </c>
      <c r="F22" s="67" t="n">
        <f aca="false">Client_Register!$H$34*F19</f>
        <v>180</v>
      </c>
      <c r="G22" s="67" t="n">
        <f aca="false">Client_Register!$H$34*G19</f>
        <v>180</v>
      </c>
      <c r="H22" s="67" t="n">
        <f aca="false">Client_Register!$H$34*H19</f>
        <v>180</v>
      </c>
      <c r="I22" s="67" t="n">
        <f aca="false">Client_Register!$H$34*I19</f>
        <v>180</v>
      </c>
      <c r="J22" s="67" t="n">
        <f aca="false">Client_Register!$H$34*J19</f>
        <v>180</v>
      </c>
      <c r="K22" s="67" t="n">
        <f aca="false">Client_Register!$H$34*K19</f>
        <v>180</v>
      </c>
      <c r="L22" s="67" t="n">
        <f aca="false">Client_Register!$H$34*L19</f>
        <v>180</v>
      </c>
      <c r="M22" s="67" t="n">
        <f aca="false">Client_Register!$H$34*M19</f>
        <v>180</v>
      </c>
      <c r="N22" s="67" t="n">
        <f aca="false">Client_Register!$H$34*N19</f>
        <v>180</v>
      </c>
      <c r="O22" s="67" t="n">
        <f aca="false">Client_Register!$H$34*O19</f>
        <v>180</v>
      </c>
      <c r="P22" s="67" t="n">
        <f aca="false">Client_Register!$H$34*P19</f>
        <v>180</v>
      </c>
      <c r="Q22" s="67" t="n">
        <f aca="false">Client_Register!$H$34*Q19</f>
        <v>180</v>
      </c>
      <c r="R22" s="67" t="n">
        <f aca="false">Client_Register!$H$34*R19</f>
        <v>180</v>
      </c>
      <c r="S22" s="67" t="n">
        <f aca="false">Client_Register!$H$34*S19</f>
        <v>180</v>
      </c>
      <c r="T22" s="67" t="n">
        <f aca="false">Client_Register!$H$34*T19</f>
        <v>162</v>
      </c>
      <c r="U22" s="67" t="n">
        <f aca="false">Client_Register!$H$34*U19</f>
        <v>162</v>
      </c>
      <c r="V22" s="67" t="n">
        <f aca="false">Client_Register!$H$34*V19</f>
        <v>162</v>
      </c>
      <c r="W22" s="67" t="n">
        <f aca="false">Client_Register!$H$34*W19</f>
        <v>162</v>
      </c>
      <c r="X22" s="67" t="n">
        <f aca="false">Client_Register!$H$34*X19</f>
        <v>162</v>
      </c>
      <c r="Y22" s="67" t="n">
        <f aca="false">Client_Register!$H$34*Y19</f>
        <v>162</v>
      </c>
      <c r="Z22" s="67" t="n">
        <f aca="false">Client_Register!$H$34*Z19</f>
        <v>162</v>
      </c>
      <c r="AA22" s="67" t="n">
        <f aca="false">Client_Register!$H$34*AA19</f>
        <v>162</v>
      </c>
      <c r="AB22" s="67" t="n">
        <f aca="false">Client_Register!$H$34*AB19</f>
        <v>162</v>
      </c>
    </row>
    <row r="23" customFormat="false" ht="15" hidden="false" customHeight="false" outlineLevel="0" collapsed="false">
      <c r="A23" s="28" t="s">
        <v>802</v>
      </c>
      <c r="B23" s="58" t="s">
        <v>859</v>
      </c>
      <c r="C23" s="66" t="n">
        <f aca="false">SUM(E23:P23)</f>
        <v>2352.375</v>
      </c>
      <c r="D23" s="66" t="n">
        <f aca="false">SUM(Q23:AB23)</f>
        <v>2136.403125</v>
      </c>
      <c r="E23" s="67" t="n">
        <f aca="false">IF(E$5="A",Inputs_Actuals!E18,E22*(1+Client_Register!$S$34))</f>
        <v>197.3</v>
      </c>
      <c r="F23" s="67" t="n">
        <f aca="false">IF(F$5="A",Inputs_Actuals!F18,F22*(1+Client_Register!$S$34))</f>
        <v>199.6</v>
      </c>
      <c r="G23" s="67" t="n">
        <f aca="false">IF(G$5="A",Inputs_Actuals!G18,G22*(1+Client_Register!$S$34))</f>
        <v>191.4</v>
      </c>
      <c r="H23" s="67" t="n">
        <f aca="false">IF(H$5="A",Inputs_Actuals!H18,H22*(1+Client_Register!$S$34))</f>
        <v>197</v>
      </c>
      <c r="I23" s="67" t="n">
        <f aca="false">IF(I$5="A",Inputs_Actuals!I18,I22*(1+Client_Register!$S$34))</f>
        <v>191.6</v>
      </c>
      <c r="J23" s="67" t="n">
        <f aca="false">IF(J$5="A",Inputs_Actuals!J18,J22*(1+Client_Register!$S$34))</f>
        <v>200.9</v>
      </c>
      <c r="K23" s="67" t="n">
        <f aca="false">IF(K$5="A",Inputs_Actuals!K18,K22*(1+Client_Register!$S$34))</f>
        <v>199.6</v>
      </c>
      <c r="L23" s="67" t="n">
        <f aca="false">IF(L$5="A",Inputs_Actuals!L18,L22*(1+Client_Register!$S$34))</f>
        <v>205.1</v>
      </c>
      <c r="M23" s="67" t="n">
        <f aca="false">IF(M$5="A",Inputs_Actuals!M18,M22*(1+Client_Register!$S$34))</f>
        <v>192.46875</v>
      </c>
      <c r="N23" s="67" t="n">
        <f aca="false">IF(N$5="A",Inputs_Actuals!N18,N22*(1+Client_Register!$S$34))</f>
        <v>192.46875</v>
      </c>
      <c r="O23" s="67" t="n">
        <f aca="false">IF(O$5="A",Inputs_Actuals!O18,O22*(1+Client_Register!$S$34))</f>
        <v>192.46875</v>
      </c>
      <c r="P23" s="67" t="n">
        <f aca="false">IF(P$5="A",Inputs_Actuals!P18,P22*(1+Client_Register!$S$34))</f>
        <v>192.46875</v>
      </c>
      <c r="Q23" s="67" t="n">
        <f aca="false">IF(Q$5="A",Inputs_Actuals!Q18,Q22*(1+Client_Register!$S$34))</f>
        <v>192.46875</v>
      </c>
      <c r="R23" s="67" t="n">
        <f aca="false">IF(R$5="A",Inputs_Actuals!R18,R22*(1+Client_Register!$S$34))</f>
        <v>192.46875</v>
      </c>
      <c r="S23" s="67" t="n">
        <f aca="false">IF(S$5="A",Inputs_Actuals!S18,S22*(1+Client_Register!$S$34))</f>
        <v>192.46875</v>
      </c>
      <c r="T23" s="67" t="n">
        <f aca="false">IF(T$5="A",Inputs_Actuals!T18,T22*(1+Client_Register!$S$34))</f>
        <v>173.221875</v>
      </c>
      <c r="U23" s="67" t="n">
        <f aca="false">IF(U$5="A",Inputs_Actuals!U18,U22*(1+Client_Register!$S$34))</f>
        <v>173.221875</v>
      </c>
      <c r="V23" s="67" t="n">
        <f aca="false">IF(V$5="A",Inputs_Actuals!V18,V22*(1+Client_Register!$S$34))</f>
        <v>173.221875</v>
      </c>
      <c r="W23" s="67" t="n">
        <f aca="false">IF(W$5="A",Inputs_Actuals!W18,W22*(1+Client_Register!$S$34))</f>
        <v>173.221875</v>
      </c>
      <c r="X23" s="67" t="n">
        <f aca="false">IF(X$5="A",Inputs_Actuals!X18,X22*(1+Client_Register!$S$34))</f>
        <v>173.221875</v>
      </c>
      <c r="Y23" s="67" t="n">
        <f aca="false">IF(Y$5="A",Inputs_Actuals!Y18,Y22*(1+Client_Register!$S$34))</f>
        <v>173.221875</v>
      </c>
      <c r="Z23" s="67" t="n">
        <f aca="false">IF(Z$5="A",Inputs_Actuals!Z18,Z22*(1+Client_Register!$S$34))</f>
        <v>173.221875</v>
      </c>
      <c r="AA23" s="67" t="n">
        <f aca="false">IF(AA$5="A",Inputs_Actuals!AA18,AA22*(1+Client_Register!$S$34))</f>
        <v>173.221875</v>
      </c>
      <c r="AB23" s="67" t="n">
        <f aca="false">IF(AB$5="A",Inputs_Actuals!AB18,AB22*(1+Client_Register!$S$34))</f>
        <v>173.221875</v>
      </c>
    </row>
    <row r="24" customFormat="false" ht="15" hidden="false" customHeight="false" outlineLevel="0" collapsed="false">
      <c r="A24" s="28" t="s">
        <v>860</v>
      </c>
      <c r="B24" s="58" t="s">
        <v>861</v>
      </c>
      <c r="C24" s="66" t="n">
        <f aca="false">SUM(E24:P24)</f>
        <v>192.375</v>
      </c>
      <c r="D24" s="66" t="n">
        <f aca="false">SUM(Q24:AB24)</f>
        <v>138.403125</v>
      </c>
      <c r="E24" s="72" t="n">
        <f aca="false">E23-E22</f>
        <v>17.3</v>
      </c>
      <c r="F24" s="72" t="n">
        <f aca="false">F23-F22</f>
        <v>19.6</v>
      </c>
      <c r="G24" s="72" t="n">
        <f aca="false">G23-G22</f>
        <v>11.4</v>
      </c>
      <c r="H24" s="72" t="n">
        <f aca="false">H23-H22</f>
        <v>17</v>
      </c>
      <c r="I24" s="72" t="n">
        <f aca="false">I23-I22</f>
        <v>11.6</v>
      </c>
      <c r="J24" s="72" t="n">
        <f aca="false">J23-J22</f>
        <v>20.9</v>
      </c>
      <c r="K24" s="72" t="n">
        <f aca="false">K23-K22</f>
        <v>19.6</v>
      </c>
      <c r="L24" s="72" t="n">
        <f aca="false">L23-L22</f>
        <v>25.1</v>
      </c>
      <c r="M24" s="72" t="n">
        <f aca="false">M23-M22</f>
        <v>12.46875</v>
      </c>
      <c r="N24" s="72" t="n">
        <f aca="false">N23-N22</f>
        <v>12.46875</v>
      </c>
      <c r="O24" s="72" t="n">
        <f aca="false">O23-O22</f>
        <v>12.46875</v>
      </c>
      <c r="P24" s="72" t="n">
        <f aca="false">P23-P22</f>
        <v>12.46875</v>
      </c>
      <c r="Q24" s="72" t="n">
        <f aca="false">Q23-Q22</f>
        <v>12.46875</v>
      </c>
      <c r="R24" s="72" t="n">
        <f aca="false">R23-R22</f>
        <v>12.46875</v>
      </c>
      <c r="S24" s="72" t="n">
        <f aca="false">S23-S22</f>
        <v>12.46875</v>
      </c>
      <c r="T24" s="72" t="n">
        <f aca="false">T23-T22</f>
        <v>11.221875</v>
      </c>
      <c r="U24" s="72" t="n">
        <f aca="false">U23-U22</f>
        <v>11.221875</v>
      </c>
      <c r="V24" s="72" t="n">
        <f aca="false">V23-V22</f>
        <v>11.221875</v>
      </c>
      <c r="W24" s="72" t="n">
        <f aca="false">W23-W22</f>
        <v>11.221875</v>
      </c>
      <c r="X24" s="72" t="n">
        <f aca="false">X23-X22</f>
        <v>11.221875</v>
      </c>
      <c r="Y24" s="72" t="n">
        <f aca="false">Y23-Y22</f>
        <v>11.221875</v>
      </c>
      <c r="Z24" s="72" t="n">
        <f aca="false">Z23-Z22</f>
        <v>11.221875</v>
      </c>
      <c r="AA24" s="72" t="n">
        <f aca="false">AA23-AA22</f>
        <v>11.221875</v>
      </c>
      <c r="AB24" s="72" t="n">
        <f aca="false">AB23-AB22</f>
        <v>11.221875</v>
      </c>
    </row>
    <row r="25" customFormat="false" ht="15" hidden="false" customHeight="false" outlineLevel="0" collapsed="false">
      <c r="A25" s="28" t="s">
        <v>862</v>
      </c>
      <c r="B25" s="58" t="s">
        <v>863</v>
      </c>
      <c r="C25" s="59" t="n">
        <f aca="false">SUM(E25:P25)</f>
        <v>8949.97746144994</v>
      </c>
      <c r="D25" s="59" t="n">
        <f aca="false">SUM(Q25:AB25)</f>
        <v>6728.7670828576</v>
      </c>
      <c r="E25" s="60" t="n">
        <f aca="false">E24*Utilisation!E88</f>
        <v>804.858272036825</v>
      </c>
      <c r="F25" s="60" t="n">
        <f aca="false">F24*Utilisation!F88</f>
        <v>911.862550978136</v>
      </c>
      <c r="G25" s="60" t="n">
        <f aca="false">G24*Utilisation!G88</f>
        <v>530.36903475259</v>
      </c>
      <c r="H25" s="60" t="n">
        <f aca="false">H24*Utilisation!H88</f>
        <v>790.901192174914</v>
      </c>
      <c r="I25" s="60" t="n">
        <f aca="false">I24*Utilisation!I88</f>
        <v>539.673754660529</v>
      </c>
      <c r="J25" s="60" t="n">
        <f aca="false">J24*Utilisation!J88</f>
        <v>972.343230379747</v>
      </c>
      <c r="K25" s="60" t="n">
        <f aca="false">K24*Utilisation!K88</f>
        <v>911.862550978136</v>
      </c>
      <c r="L25" s="60" t="n">
        <f aca="false">L24*Utilisation!L88</f>
        <v>1167.74234844649</v>
      </c>
      <c r="M25" s="60" t="n">
        <f aca="false">M24*Utilisation!M88</f>
        <v>580.091131760645</v>
      </c>
      <c r="N25" s="60" t="n">
        <f aca="false">N24*Utilisation!N88</f>
        <v>580.091131760645</v>
      </c>
      <c r="O25" s="60" t="n">
        <f aca="false">O24*Utilisation!O88</f>
        <v>580.091131760645</v>
      </c>
      <c r="P25" s="60" t="n">
        <f aca="false">P24*Utilisation!P88</f>
        <v>580.091131760645</v>
      </c>
      <c r="Q25" s="60" t="n">
        <f aca="false">Q24*Utilisation!Q88</f>
        <v>606.195232689874</v>
      </c>
      <c r="R25" s="60" t="n">
        <f aca="false">R24*Utilisation!R88</f>
        <v>606.195232689874</v>
      </c>
      <c r="S25" s="60" t="n">
        <f aca="false">S24*Utilisation!S88</f>
        <v>606.195232689874</v>
      </c>
      <c r="T25" s="60" t="n">
        <f aca="false">T24*Utilisation!T88</f>
        <v>545.575709420887</v>
      </c>
      <c r="U25" s="60" t="n">
        <f aca="false">U24*Utilisation!U88</f>
        <v>545.575709420887</v>
      </c>
      <c r="V25" s="60" t="n">
        <f aca="false">V24*Utilisation!V88</f>
        <v>545.575709420887</v>
      </c>
      <c r="W25" s="60" t="n">
        <f aca="false">W24*Utilisation!W88</f>
        <v>545.575709420887</v>
      </c>
      <c r="X25" s="60" t="n">
        <f aca="false">X24*Utilisation!X88</f>
        <v>545.575709420887</v>
      </c>
      <c r="Y25" s="60" t="n">
        <f aca="false">Y24*Utilisation!Y88</f>
        <v>545.575709420887</v>
      </c>
      <c r="Z25" s="60" t="n">
        <f aca="false">Z24*Utilisation!Z88</f>
        <v>545.575709420887</v>
      </c>
      <c r="AA25" s="60" t="n">
        <f aca="false">AA24*Utilisation!AA88</f>
        <v>545.575709420887</v>
      </c>
      <c r="AB25" s="60" t="n">
        <f aca="false">AB24*Utilisation!AB88</f>
        <v>545.575709420887</v>
      </c>
    </row>
    <row r="26" customFormat="false" ht="15" hidden="false" customHeight="false" outlineLevel="0" collapsed="false">
      <c r="A26" s="28" t="s">
        <v>867</v>
      </c>
      <c r="B26" s="58" t="s">
        <v>865</v>
      </c>
      <c r="C26" s="59" t="n">
        <f aca="false">SUM(E26:P26)</f>
        <v>180000</v>
      </c>
      <c r="D26" s="59" t="n">
        <f aca="false">SUM(Q26:AB26)</f>
        <v>171360</v>
      </c>
      <c r="E26" s="60" t="n">
        <f aca="false">IF(E$5="A",Inputs_Actuals!E19,IF(MOD(Assumptions!E$102,3)=1,E20+F20+G20,0))</f>
        <v>45000</v>
      </c>
      <c r="F26" s="60" t="n">
        <f aca="false">IF(F$5="A",Inputs_Actuals!F19,IF(MOD(Assumptions!F$102,3)=1,F20+G20+H20,0))</f>
        <v>0</v>
      </c>
      <c r="G26" s="60" t="n">
        <f aca="false">IF(G$5="A",Inputs_Actuals!G19,IF(MOD(Assumptions!G$102,3)=1,G20+H20+I20,0))</f>
        <v>0</v>
      </c>
      <c r="H26" s="60" t="n">
        <f aca="false">IF(H$5="A",Inputs_Actuals!H19,IF(MOD(Assumptions!H$102,3)=1,H20+I20+J20,0))</f>
        <v>45000</v>
      </c>
      <c r="I26" s="60" t="n">
        <f aca="false">IF(I$5="A",Inputs_Actuals!I19,IF(MOD(Assumptions!I$102,3)=1,I20+J20+K20,0))</f>
        <v>0</v>
      </c>
      <c r="J26" s="60" t="n">
        <f aca="false">IF(J$5="A",Inputs_Actuals!J19,IF(MOD(Assumptions!J$102,3)=1,J20+K20+L20,0))</f>
        <v>0</v>
      </c>
      <c r="K26" s="60" t="n">
        <f aca="false">IF(K$5="A",Inputs_Actuals!K19,IF(MOD(Assumptions!K$102,3)=1,K20+L20+M20,0))</f>
        <v>45000</v>
      </c>
      <c r="L26" s="60" t="n">
        <f aca="false">IF(L$5="A",Inputs_Actuals!L19,IF(MOD(Assumptions!L$102,3)=1,L20+M20+N20,0))</f>
        <v>0</v>
      </c>
      <c r="M26" s="60" t="n">
        <f aca="false">IF(M$5="A",Inputs_Actuals!M19,IF(MOD(Assumptions!M$102,3)=1,M20+N20+O20,0))</f>
        <v>0</v>
      </c>
      <c r="N26" s="60" t="n">
        <f aca="false">IF(N$5="A",Inputs_Actuals!N19,IF(MOD(Assumptions!N$102,3)=1,N20+O20+P20,0))</f>
        <v>45000</v>
      </c>
      <c r="O26" s="60" t="n">
        <f aca="false">IF(O$5="A",Inputs_Actuals!O19,IF(MOD(Assumptions!O$102,3)=1,O20+P20+Q20,0))</f>
        <v>0</v>
      </c>
      <c r="P26" s="60" t="n">
        <f aca="false">IF(P$5="A",Inputs_Actuals!P19,IF(MOD(Assumptions!P$102,3)=1,P20+Q20+R20,0))</f>
        <v>0</v>
      </c>
      <c r="Q26" s="60" t="n">
        <f aca="false">IF(Q$5="A",Inputs_Actuals!Q19,IF(MOD(Assumptions!Q$102,3)=1,Q20+R20+S20,0))</f>
        <v>45000</v>
      </c>
      <c r="R26" s="60" t="n">
        <f aca="false">IF(R$5="A",Inputs_Actuals!R19,IF(MOD(Assumptions!R$102,3)=1,R20+S20+T20,0))</f>
        <v>0</v>
      </c>
      <c r="S26" s="60" t="n">
        <f aca="false">IF(S$5="A",Inputs_Actuals!S19,IF(MOD(Assumptions!S$102,3)=1,S20+T20+U20,0))</f>
        <v>0</v>
      </c>
      <c r="T26" s="60" t="n">
        <f aca="false">IF(T$5="A",Inputs_Actuals!T19,IF(MOD(Assumptions!T$102,3)=1,T20+U20+V20,0))</f>
        <v>42120</v>
      </c>
      <c r="U26" s="60" t="n">
        <f aca="false">IF(U$5="A",Inputs_Actuals!U19,IF(MOD(Assumptions!U$102,3)=1,U20+V20+W20,0))</f>
        <v>0</v>
      </c>
      <c r="V26" s="60" t="n">
        <f aca="false">IF(V$5="A",Inputs_Actuals!V19,IF(MOD(Assumptions!V$102,3)=1,V20+W20+X20,0))</f>
        <v>0</v>
      </c>
      <c r="W26" s="60" t="n">
        <f aca="false">IF(W$5="A",Inputs_Actuals!W19,IF(MOD(Assumptions!W$102,3)=1,W20+X20+Y20,0))</f>
        <v>42120</v>
      </c>
      <c r="X26" s="60" t="n">
        <f aca="false">IF(X$5="A",Inputs_Actuals!X19,IF(MOD(Assumptions!X$102,3)=1,X20+Y20+Z20,0))</f>
        <v>0</v>
      </c>
      <c r="Y26" s="60" t="n">
        <f aca="false">IF(Y$5="A",Inputs_Actuals!Y19,IF(MOD(Assumptions!Y$102,3)=1,Y20+Z20+AA20,0))</f>
        <v>0</v>
      </c>
      <c r="Z26" s="60" t="n">
        <f aca="false">IF(Z$5="A",Inputs_Actuals!Z19,IF(MOD(Assumptions!Z$102,3)=1,Z20+AA20+AB20,0))</f>
        <v>42120</v>
      </c>
      <c r="AA26" s="60" t="n">
        <f aca="false">IF(AA$5="A",Inputs_Actuals!AA19,IF(MOD(Assumptions!AA$102,3)=1,AA20+AB20,0))</f>
        <v>0</v>
      </c>
      <c r="AB26" s="60" t="n">
        <f aca="false">IF(AB$5="A",Inputs_Actuals!AB19,IF(MOD(Assumptions!AB$102,3)=1,AB20,0))</f>
        <v>0</v>
      </c>
    </row>
    <row r="28" customFormat="false" ht="15" hidden="false" customHeight="false" outlineLevel="0" collapsed="false">
      <c r="A28" s="22" t="s">
        <v>868</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28" t="s">
        <v>852</v>
      </c>
      <c r="B29" s="58" t="s">
        <v>79</v>
      </c>
      <c r="C29" s="110" t="n">
        <f aca="false">AVERAGE(E29:P29)</f>
        <v>1</v>
      </c>
      <c r="D29" s="110" t="n">
        <f aca="false">AVERAGE(Q29:AB29)</f>
        <v>0.95</v>
      </c>
      <c r="E29" s="93" t="n">
        <f aca="false">IF(Assumptions!E$99&lt;Client_Register!$P$35,0,IF(Assumptions!E$99&lt;=Client_Register!$Q$35,1,Client_Register!$N$35))</f>
        <v>1</v>
      </c>
      <c r="F29" s="93" t="n">
        <f aca="false">IF(Assumptions!F$99&lt;Client_Register!$P$35,0,IF(Assumptions!F$99&lt;=Client_Register!$Q$35,1,Client_Register!$N$35))</f>
        <v>1</v>
      </c>
      <c r="G29" s="93" t="n">
        <f aca="false">IF(Assumptions!G$99&lt;Client_Register!$P$35,0,IF(Assumptions!G$99&lt;=Client_Register!$Q$35,1,Client_Register!$N$35))</f>
        <v>1</v>
      </c>
      <c r="H29" s="93" t="n">
        <f aca="false">IF(Assumptions!H$99&lt;Client_Register!$P$35,0,IF(Assumptions!H$99&lt;=Client_Register!$Q$35,1,Client_Register!$N$35))</f>
        <v>1</v>
      </c>
      <c r="I29" s="93" t="n">
        <f aca="false">IF(Assumptions!I$99&lt;Client_Register!$P$35,0,IF(Assumptions!I$99&lt;=Client_Register!$Q$35,1,Client_Register!$N$35))</f>
        <v>1</v>
      </c>
      <c r="J29" s="93" t="n">
        <f aca="false">IF(Assumptions!J$99&lt;Client_Register!$P$35,0,IF(Assumptions!J$99&lt;=Client_Register!$Q$35,1,Client_Register!$N$35))</f>
        <v>1</v>
      </c>
      <c r="K29" s="93" t="n">
        <f aca="false">IF(Assumptions!K$99&lt;Client_Register!$P$35,0,IF(Assumptions!K$99&lt;=Client_Register!$Q$35,1,Client_Register!$N$35))</f>
        <v>1</v>
      </c>
      <c r="L29" s="93" t="n">
        <f aca="false">IF(Assumptions!L$99&lt;Client_Register!$P$35,0,IF(Assumptions!L$99&lt;=Client_Register!$Q$35,1,Client_Register!$N$35))</f>
        <v>1</v>
      </c>
      <c r="M29" s="93" t="n">
        <f aca="false">IF(Assumptions!M$99&lt;Client_Register!$P$35,0,IF(Assumptions!M$99&lt;=Client_Register!$Q$35,1,Client_Register!$N$35))</f>
        <v>1</v>
      </c>
      <c r="N29" s="93" t="n">
        <f aca="false">IF(Assumptions!N$99&lt;Client_Register!$P$35,0,IF(Assumptions!N$99&lt;=Client_Register!$Q$35,1,Client_Register!$N$35))</f>
        <v>1</v>
      </c>
      <c r="O29" s="93" t="n">
        <f aca="false">IF(Assumptions!O$99&lt;Client_Register!$P$35,0,IF(Assumptions!O$99&lt;=Client_Register!$Q$35,1,Client_Register!$N$35))</f>
        <v>1</v>
      </c>
      <c r="P29" s="93" t="n">
        <f aca="false">IF(Assumptions!P$99&lt;Client_Register!$P$35,0,IF(Assumptions!P$99&lt;=Client_Register!$Q$35,1,Client_Register!$N$35))</f>
        <v>1</v>
      </c>
      <c r="Q29" s="93" t="n">
        <f aca="false">IF(Assumptions!Q$99&lt;Client_Register!$P$35,0,IF(Assumptions!Q$99&lt;=Client_Register!$Q$35,1,Client_Register!$N$35))</f>
        <v>1</v>
      </c>
      <c r="R29" s="93" t="n">
        <f aca="false">IF(Assumptions!R$99&lt;Client_Register!$P$35,0,IF(Assumptions!R$99&lt;=Client_Register!$Q$35,1,Client_Register!$N$35))</f>
        <v>1</v>
      </c>
      <c r="S29" s="93" t="n">
        <f aca="false">IF(Assumptions!S$99&lt;Client_Register!$P$35,0,IF(Assumptions!S$99&lt;=Client_Register!$Q$35,1,Client_Register!$N$35))</f>
        <v>1</v>
      </c>
      <c r="T29" s="93" t="n">
        <f aca="false">IF(Assumptions!T$99&lt;Client_Register!$P$35,0,IF(Assumptions!T$99&lt;=Client_Register!$Q$35,1,Client_Register!$N$35))</f>
        <v>1</v>
      </c>
      <c r="U29" s="93" t="n">
        <f aca="false">IF(Assumptions!U$99&lt;Client_Register!$P$35,0,IF(Assumptions!U$99&lt;=Client_Register!$Q$35,1,Client_Register!$N$35))</f>
        <v>1</v>
      </c>
      <c r="V29" s="93" t="n">
        <f aca="false">IF(Assumptions!V$99&lt;Client_Register!$P$35,0,IF(Assumptions!V$99&lt;=Client_Register!$Q$35,1,Client_Register!$N$35))</f>
        <v>1</v>
      </c>
      <c r="W29" s="93" t="n">
        <f aca="false">IF(Assumptions!W$99&lt;Client_Register!$P$35,0,IF(Assumptions!W$99&lt;=Client_Register!$Q$35,1,Client_Register!$N$35))</f>
        <v>0.9</v>
      </c>
      <c r="X29" s="93" t="n">
        <f aca="false">IF(Assumptions!X$99&lt;Client_Register!$P$35,0,IF(Assumptions!X$99&lt;=Client_Register!$Q$35,1,Client_Register!$N$35))</f>
        <v>0.9</v>
      </c>
      <c r="Y29" s="93" t="n">
        <f aca="false">IF(Assumptions!Y$99&lt;Client_Register!$P$35,0,IF(Assumptions!Y$99&lt;=Client_Register!$Q$35,1,Client_Register!$N$35))</f>
        <v>0.9</v>
      </c>
      <c r="Z29" s="93" t="n">
        <f aca="false">IF(Assumptions!Z$99&lt;Client_Register!$P$35,0,IF(Assumptions!Z$99&lt;=Client_Register!$Q$35,1,Client_Register!$N$35))</f>
        <v>0.9</v>
      </c>
      <c r="AA29" s="93" t="n">
        <f aca="false">IF(Assumptions!AA$99&lt;Client_Register!$P$35,0,IF(Assumptions!AA$99&lt;=Client_Register!$Q$35,1,Client_Register!$N$35))</f>
        <v>0.9</v>
      </c>
      <c r="AB29" s="93" t="n">
        <f aca="false">IF(Assumptions!AB$99&lt;Client_Register!$P$35,0,IF(Assumptions!AB$99&lt;=Client_Register!$Q$35,1,Client_Register!$N$35))</f>
        <v>0.9</v>
      </c>
    </row>
    <row r="30" customFormat="false" ht="15" hidden="false" customHeight="false" outlineLevel="0" collapsed="false">
      <c r="A30" s="28" t="s">
        <v>853</v>
      </c>
      <c r="B30" s="58" t="s">
        <v>854</v>
      </c>
      <c r="C30" s="59" t="n">
        <f aca="false">SUM(E30:P30)</f>
        <v>216000</v>
      </c>
      <c r="D30" s="59" t="n">
        <f aca="false">SUM(Q30:AB30)</f>
        <v>209088</v>
      </c>
      <c r="E30" s="60" t="n">
        <f aca="false">IF(E$5="A",Inputs_Actuals!E20,Client_Register!$G$35*E29*IF(Assumptions!E$99&gt;Client_Register!$Q$35,1+Assumptions!$F$114,1))</f>
        <v>18000</v>
      </c>
      <c r="F30" s="60" t="n">
        <f aca="false">IF(F$5="A",Inputs_Actuals!F20,Client_Register!$G$35*F29*IF(Assumptions!F$99&gt;Client_Register!$Q$35,1+Assumptions!$F$114,1))</f>
        <v>18000</v>
      </c>
      <c r="G30" s="60" t="n">
        <f aca="false">IF(G$5="A",Inputs_Actuals!G20,Client_Register!$G$35*G29*IF(Assumptions!G$99&gt;Client_Register!$Q$35,1+Assumptions!$F$114,1))</f>
        <v>18000</v>
      </c>
      <c r="H30" s="60" t="n">
        <f aca="false">IF(H$5="A",Inputs_Actuals!H20,Client_Register!$G$35*H29*IF(Assumptions!H$99&gt;Client_Register!$Q$35,1+Assumptions!$F$114,1))</f>
        <v>18000</v>
      </c>
      <c r="I30" s="60" t="n">
        <f aca="false">IF(I$5="A",Inputs_Actuals!I20,Client_Register!$G$35*I29*IF(Assumptions!I$99&gt;Client_Register!$Q$35,1+Assumptions!$F$114,1))</f>
        <v>18000</v>
      </c>
      <c r="J30" s="60" t="n">
        <f aca="false">IF(J$5="A",Inputs_Actuals!J20,Client_Register!$G$35*J29*IF(Assumptions!J$99&gt;Client_Register!$Q$35,1+Assumptions!$F$114,1))</f>
        <v>18000</v>
      </c>
      <c r="K30" s="60" t="n">
        <f aca="false">IF(K$5="A",Inputs_Actuals!K20,Client_Register!$G$35*K29*IF(Assumptions!K$99&gt;Client_Register!$Q$35,1+Assumptions!$F$114,1))</f>
        <v>18000</v>
      </c>
      <c r="L30" s="60" t="n">
        <f aca="false">IF(L$5="A",Inputs_Actuals!L20,Client_Register!$G$35*L29*IF(Assumptions!L$99&gt;Client_Register!$Q$35,1+Assumptions!$F$114,1))</f>
        <v>18000</v>
      </c>
      <c r="M30" s="60" t="n">
        <f aca="false">IF(M$5="A",Inputs_Actuals!M20,Client_Register!$G$35*M29*IF(Assumptions!M$99&gt;Client_Register!$Q$35,1+Assumptions!$F$114,1))</f>
        <v>18000</v>
      </c>
      <c r="N30" s="60" t="n">
        <f aca="false">IF(N$5="A",Inputs_Actuals!N20,Client_Register!$G$35*N29*IF(Assumptions!N$99&gt;Client_Register!$Q$35,1+Assumptions!$F$114,1))</f>
        <v>18000</v>
      </c>
      <c r="O30" s="60" t="n">
        <f aca="false">IF(O$5="A",Inputs_Actuals!O20,Client_Register!$G$35*O29*IF(Assumptions!O$99&gt;Client_Register!$Q$35,1+Assumptions!$F$114,1))</f>
        <v>18000</v>
      </c>
      <c r="P30" s="60" t="n">
        <f aca="false">IF(P$5="A",Inputs_Actuals!P20,Client_Register!$G$35*P29*IF(Assumptions!P$99&gt;Client_Register!$Q$35,1+Assumptions!$F$114,1))</f>
        <v>18000</v>
      </c>
      <c r="Q30" s="60" t="n">
        <f aca="false">IF(Q$5="A",Inputs_Actuals!Q20,Client_Register!$G$35*Q29*IF(Assumptions!Q$99&gt;Client_Register!$Q$35,1+Assumptions!$F$114,1))</f>
        <v>18000</v>
      </c>
      <c r="R30" s="60" t="n">
        <f aca="false">IF(R$5="A",Inputs_Actuals!R20,Client_Register!$G$35*R29*IF(Assumptions!R$99&gt;Client_Register!$Q$35,1+Assumptions!$F$114,1))</f>
        <v>18000</v>
      </c>
      <c r="S30" s="60" t="n">
        <f aca="false">IF(S$5="A",Inputs_Actuals!S20,Client_Register!$G$35*S29*IF(Assumptions!S$99&gt;Client_Register!$Q$35,1+Assumptions!$F$114,1))</f>
        <v>18000</v>
      </c>
      <c r="T30" s="60" t="n">
        <f aca="false">IF(T$5="A",Inputs_Actuals!T20,Client_Register!$G$35*T29*IF(Assumptions!T$99&gt;Client_Register!$Q$35,1+Assumptions!$F$114,1))</f>
        <v>18000</v>
      </c>
      <c r="U30" s="60" t="n">
        <f aca="false">IF(U$5="A",Inputs_Actuals!U20,Client_Register!$G$35*U29*IF(Assumptions!U$99&gt;Client_Register!$Q$35,1+Assumptions!$F$114,1))</f>
        <v>18000</v>
      </c>
      <c r="V30" s="60" t="n">
        <f aca="false">IF(V$5="A",Inputs_Actuals!V20,Client_Register!$G$35*V29*IF(Assumptions!V$99&gt;Client_Register!$Q$35,1+Assumptions!$F$114,1))</f>
        <v>18000</v>
      </c>
      <c r="W30" s="60" t="n">
        <f aca="false">IF(W$5="A",Inputs_Actuals!W20,Client_Register!$G$35*W29*IF(Assumptions!W$99&gt;Client_Register!$Q$35,1+Assumptions!$F$114,1))</f>
        <v>16848</v>
      </c>
      <c r="X30" s="60" t="n">
        <f aca="false">IF(X$5="A",Inputs_Actuals!X20,Client_Register!$G$35*X29*IF(Assumptions!X$99&gt;Client_Register!$Q$35,1+Assumptions!$F$114,1))</f>
        <v>16848</v>
      </c>
      <c r="Y30" s="60" t="n">
        <f aca="false">IF(Y$5="A",Inputs_Actuals!Y20,Client_Register!$G$35*Y29*IF(Assumptions!Y$99&gt;Client_Register!$Q$35,1+Assumptions!$F$114,1))</f>
        <v>16848</v>
      </c>
      <c r="Z30" s="60" t="n">
        <f aca="false">IF(Z$5="A",Inputs_Actuals!Z20,Client_Register!$G$35*Z29*IF(Assumptions!Z$99&gt;Client_Register!$Q$35,1+Assumptions!$F$114,1))</f>
        <v>16848</v>
      </c>
      <c r="AA30" s="60" t="n">
        <f aca="false">IF(AA$5="A",Inputs_Actuals!AA20,Client_Register!$G$35*AA29*IF(Assumptions!AA$99&gt;Client_Register!$Q$35,1+Assumptions!$F$114,1))</f>
        <v>16848</v>
      </c>
      <c r="AB30" s="60" t="n">
        <f aca="false">IF(AB$5="A",Inputs_Actuals!AB20,Client_Register!$G$35*AB29*IF(Assumptions!AB$99&gt;Client_Register!$Q$35,1+Assumptions!$F$114,1))</f>
        <v>16848</v>
      </c>
    </row>
    <row r="31" customFormat="false" ht="15" hidden="false" customHeight="false" outlineLevel="0" collapsed="false">
      <c r="A31" s="28" t="s">
        <v>855</v>
      </c>
      <c r="B31" s="58" t="s">
        <v>856</v>
      </c>
      <c r="C31" s="59" t="n">
        <f aca="false">SUM(E31:P31)</f>
        <v>250392.876728329</v>
      </c>
      <c r="D31" s="59" t="n">
        <f aca="false">SUM(Q31:AB31)</f>
        <v>244124.789837474</v>
      </c>
      <c r="E31" s="60" t="n">
        <f aca="false">E30/FX!E9</f>
        <v>20703.933747412</v>
      </c>
      <c r="F31" s="60" t="n">
        <f aca="false">F30/FX!F9</f>
        <v>20659.9713055954</v>
      </c>
      <c r="G31" s="60" t="n">
        <f aca="false">G30/FX!G9</f>
        <v>20634.8660453279</v>
      </c>
      <c r="H31" s="60" t="n">
        <f aca="false">H30/FX!H9</f>
        <v>20754.3036354622</v>
      </c>
      <c r="I31" s="60" t="n">
        <f aca="false">I30/FX!I9</f>
        <v>20767.4735214713</v>
      </c>
      <c r="J31" s="60" t="n">
        <f aca="false">J30/FX!J9</f>
        <v>20821.2839791787</v>
      </c>
      <c r="K31" s="60" t="n">
        <f aca="false">K30/FX!K9</f>
        <v>20960.6986899563</v>
      </c>
      <c r="L31" s="60" t="n">
        <f aca="false">L30/FX!L9</f>
        <v>21025.3355293128</v>
      </c>
      <c r="M31" s="60" t="n">
        <f aca="false">M30/FX!M9</f>
        <v>21016.2525686531</v>
      </c>
      <c r="N31" s="60" t="n">
        <f aca="false">N30/FX!N9</f>
        <v>21016.2525686531</v>
      </c>
      <c r="O31" s="60" t="n">
        <f aca="false">O30/FX!O9</f>
        <v>21016.2525686531</v>
      </c>
      <c r="P31" s="60" t="n">
        <f aca="false">P30/FX!P9</f>
        <v>21016.2525686531</v>
      </c>
      <c r="Q31" s="60" t="n">
        <f aca="false">Q30/FX!Q9</f>
        <v>21016.2525686531</v>
      </c>
      <c r="R31" s="60" t="n">
        <f aca="false">R30/FX!R9</f>
        <v>21016.2525686531</v>
      </c>
      <c r="S31" s="60" t="n">
        <f aca="false">S30/FX!S9</f>
        <v>21016.2525686531</v>
      </c>
      <c r="T31" s="60" t="n">
        <f aca="false">T30/FX!T9</f>
        <v>21016.2525686531</v>
      </c>
      <c r="U31" s="60" t="n">
        <f aca="false">U30/FX!U9</f>
        <v>21016.2525686531</v>
      </c>
      <c r="V31" s="60" t="n">
        <f aca="false">V30/FX!V9</f>
        <v>21016.2525686531</v>
      </c>
      <c r="W31" s="60" t="n">
        <f aca="false">W30/FX!W9</f>
        <v>19671.2124042593</v>
      </c>
      <c r="X31" s="60" t="n">
        <f aca="false">X30/FX!X9</f>
        <v>19671.2124042593</v>
      </c>
      <c r="Y31" s="60" t="n">
        <f aca="false">Y30/FX!Y9</f>
        <v>19671.2124042593</v>
      </c>
      <c r="Z31" s="60" t="n">
        <f aca="false">Z30/FX!Z9</f>
        <v>19671.2124042593</v>
      </c>
      <c r="AA31" s="60" t="n">
        <f aca="false">AA30/FX!AA9</f>
        <v>19671.2124042593</v>
      </c>
      <c r="AB31" s="60" t="n">
        <f aca="false">AB30/FX!AB9</f>
        <v>19671.2124042593</v>
      </c>
    </row>
    <row r="32" customFormat="false" ht="15" hidden="false" customHeight="false" outlineLevel="0" collapsed="false">
      <c r="A32" s="28" t="s">
        <v>857</v>
      </c>
      <c r="B32" s="58" t="s">
        <v>858</v>
      </c>
      <c r="C32" s="66" t="n">
        <f aca="false">SUM(E32:P32)</f>
        <v>2280</v>
      </c>
      <c r="D32" s="66" t="n">
        <f aca="false">SUM(Q32:AB32)</f>
        <v>2166</v>
      </c>
      <c r="E32" s="67" t="n">
        <f aca="false">Client_Register!$H$35*E29</f>
        <v>190</v>
      </c>
      <c r="F32" s="67" t="n">
        <f aca="false">Client_Register!$H$35*F29</f>
        <v>190</v>
      </c>
      <c r="G32" s="67" t="n">
        <f aca="false">Client_Register!$H$35*G29</f>
        <v>190</v>
      </c>
      <c r="H32" s="67" t="n">
        <f aca="false">Client_Register!$H$35*H29</f>
        <v>190</v>
      </c>
      <c r="I32" s="67" t="n">
        <f aca="false">Client_Register!$H$35*I29</f>
        <v>190</v>
      </c>
      <c r="J32" s="67" t="n">
        <f aca="false">Client_Register!$H$35*J29</f>
        <v>190</v>
      </c>
      <c r="K32" s="67" t="n">
        <f aca="false">Client_Register!$H$35*K29</f>
        <v>190</v>
      </c>
      <c r="L32" s="67" t="n">
        <f aca="false">Client_Register!$H$35*L29</f>
        <v>190</v>
      </c>
      <c r="M32" s="67" t="n">
        <f aca="false">Client_Register!$H$35*M29</f>
        <v>190</v>
      </c>
      <c r="N32" s="67" t="n">
        <f aca="false">Client_Register!$H$35*N29</f>
        <v>190</v>
      </c>
      <c r="O32" s="67" t="n">
        <f aca="false">Client_Register!$H$35*O29</f>
        <v>190</v>
      </c>
      <c r="P32" s="67" t="n">
        <f aca="false">Client_Register!$H$35*P29</f>
        <v>190</v>
      </c>
      <c r="Q32" s="67" t="n">
        <f aca="false">Client_Register!$H$35*Q29</f>
        <v>190</v>
      </c>
      <c r="R32" s="67" t="n">
        <f aca="false">Client_Register!$H$35*R29</f>
        <v>190</v>
      </c>
      <c r="S32" s="67" t="n">
        <f aca="false">Client_Register!$H$35*S29</f>
        <v>190</v>
      </c>
      <c r="T32" s="67" t="n">
        <f aca="false">Client_Register!$H$35*T29</f>
        <v>190</v>
      </c>
      <c r="U32" s="67" t="n">
        <f aca="false">Client_Register!$H$35*U29</f>
        <v>190</v>
      </c>
      <c r="V32" s="67" t="n">
        <f aca="false">Client_Register!$H$35*V29</f>
        <v>190</v>
      </c>
      <c r="W32" s="67" t="n">
        <f aca="false">Client_Register!$H$35*W29</f>
        <v>171</v>
      </c>
      <c r="X32" s="67" t="n">
        <f aca="false">Client_Register!$H$35*X29</f>
        <v>171</v>
      </c>
      <c r="Y32" s="67" t="n">
        <f aca="false">Client_Register!$H$35*Y29</f>
        <v>171</v>
      </c>
      <c r="Z32" s="67" t="n">
        <f aca="false">Client_Register!$H$35*Z29</f>
        <v>171</v>
      </c>
      <c r="AA32" s="67" t="n">
        <f aca="false">Client_Register!$H$35*AA29</f>
        <v>171</v>
      </c>
      <c r="AB32" s="67" t="n">
        <f aca="false">Client_Register!$H$35*AB29</f>
        <v>171</v>
      </c>
    </row>
    <row r="33" customFormat="false" ht="15" hidden="false" customHeight="false" outlineLevel="0" collapsed="false">
      <c r="A33" s="28" t="s">
        <v>802</v>
      </c>
      <c r="B33" s="58" t="s">
        <v>859</v>
      </c>
      <c r="C33" s="66" t="n">
        <f aca="false">SUM(E33:P33)</f>
        <v>2473.185</v>
      </c>
      <c r="D33" s="66" t="n">
        <f aca="false">SUM(Q33:AB33)</f>
        <v>2308.74225</v>
      </c>
      <c r="E33" s="67" t="n">
        <f aca="false">IF(E$5="A",Inputs_Actuals!E21,E32*(1+Client_Register!$S$35))</f>
        <v>209.5</v>
      </c>
      <c r="F33" s="67" t="n">
        <f aca="false">IF(F$5="A",Inputs_Actuals!F21,F32*(1+Client_Register!$S$35))</f>
        <v>214</v>
      </c>
      <c r="G33" s="67" t="n">
        <f aca="false">IF(G$5="A",Inputs_Actuals!G21,G32*(1+Client_Register!$S$35))</f>
        <v>205.8</v>
      </c>
      <c r="H33" s="67" t="n">
        <f aca="false">IF(H$5="A",Inputs_Actuals!H21,H32*(1+Client_Register!$S$35))</f>
        <v>214.7</v>
      </c>
      <c r="I33" s="67" t="n">
        <f aca="false">IF(I$5="A",Inputs_Actuals!I21,I32*(1+Client_Register!$S$35))</f>
        <v>207.3</v>
      </c>
      <c r="J33" s="67" t="n">
        <f aca="false">IF(J$5="A",Inputs_Actuals!J21,J32*(1+Client_Register!$S$35))</f>
        <v>195.5</v>
      </c>
      <c r="K33" s="67" t="n">
        <f aca="false">IF(K$5="A",Inputs_Actuals!K21,K32*(1+Client_Register!$S$35))</f>
        <v>216.4</v>
      </c>
      <c r="L33" s="67" t="n">
        <f aca="false">IF(L$5="A",Inputs_Actuals!L21,L32*(1+Client_Register!$S$35))</f>
        <v>199.9</v>
      </c>
      <c r="M33" s="67" t="n">
        <f aca="false">IF(M$5="A",Inputs_Actuals!M21,M32*(1+Client_Register!$S$35))</f>
        <v>202.52125</v>
      </c>
      <c r="N33" s="67" t="n">
        <f aca="false">IF(N$5="A",Inputs_Actuals!N21,N32*(1+Client_Register!$S$35))</f>
        <v>202.52125</v>
      </c>
      <c r="O33" s="67" t="n">
        <f aca="false">IF(O$5="A",Inputs_Actuals!O21,O32*(1+Client_Register!$S$35))</f>
        <v>202.52125</v>
      </c>
      <c r="P33" s="67" t="n">
        <f aca="false">IF(P$5="A",Inputs_Actuals!P21,P32*(1+Client_Register!$S$35))</f>
        <v>202.52125</v>
      </c>
      <c r="Q33" s="67" t="n">
        <f aca="false">IF(Q$5="A",Inputs_Actuals!Q21,Q32*(1+Client_Register!$S$35))</f>
        <v>202.52125</v>
      </c>
      <c r="R33" s="67" t="n">
        <f aca="false">IF(R$5="A",Inputs_Actuals!R21,R32*(1+Client_Register!$S$35))</f>
        <v>202.52125</v>
      </c>
      <c r="S33" s="67" t="n">
        <f aca="false">IF(S$5="A",Inputs_Actuals!S21,S32*(1+Client_Register!$S$35))</f>
        <v>202.52125</v>
      </c>
      <c r="T33" s="67" t="n">
        <f aca="false">IF(T$5="A",Inputs_Actuals!T21,T32*(1+Client_Register!$S$35))</f>
        <v>202.52125</v>
      </c>
      <c r="U33" s="67" t="n">
        <f aca="false">IF(U$5="A",Inputs_Actuals!U21,U32*(1+Client_Register!$S$35))</f>
        <v>202.52125</v>
      </c>
      <c r="V33" s="67" t="n">
        <f aca="false">IF(V$5="A",Inputs_Actuals!V21,V32*(1+Client_Register!$S$35))</f>
        <v>202.52125</v>
      </c>
      <c r="W33" s="67" t="n">
        <f aca="false">IF(W$5="A",Inputs_Actuals!W21,W32*(1+Client_Register!$S$35))</f>
        <v>182.269125</v>
      </c>
      <c r="X33" s="67" t="n">
        <f aca="false">IF(X$5="A",Inputs_Actuals!X21,X32*(1+Client_Register!$S$35))</f>
        <v>182.269125</v>
      </c>
      <c r="Y33" s="67" t="n">
        <f aca="false">IF(Y$5="A",Inputs_Actuals!Y21,Y32*(1+Client_Register!$S$35))</f>
        <v>182.269125</v>
      </c>
      <c r="Z33" s="67" t="n">
        <f aca="false">IF(Z$5="A",Inputs_Actuals!Z21,Z32*(1+Client_Register!$S$35))</f>
        <v>182.269125</v>
      </c>
      <c r="AA33" s="67" t="n">
        <f aca="false">IF(AA$5="A",Inputs_Actuals!AA21,AA32*(1+Client_Register!$S$35))</f>
        <v>182.269125</v>
      </c>
      <c r="AB33" s="67" t="n">
        <f aca="false">IF(AB$5="A",Inputs_Actuals!AB21,AB32*(1+Client_Register!$S$35))</f>
        <v>182.269125</v>
      </c>
    </row>
    <row r="34" customFormat="false" ht="15" hidden="false" customHeight="false" outlineLevel="0" collapsed="false">
      <c r="A34" s="28" t="s">
        <v>860</v>
      </c>
      <c r="B34" s="58" t="s">
        <v>861</v>
      </c>
      <c r="C34" s="66" t="n">
        <f aca="false">SUM(E34:P34)</f>
        <v>193.185</v>
      </c>
      <c r="D34" s="66" t="n">
        <f aca="false">SUM(Q34:AB34)</f>
        <v>142.74225</v>
      </c>
      <c r="E34" s="72" t="n">
        <f aca="false">E33-E32</f>
        <v>19.5</v>
      </c>
      <c r="F34" s="72" t="n">
        <f aca="false">F33-F32</f>
        <v>24</v>
      </c>
      <c r="G34" s="72" t="n">
        <f aca="false">G33-G32</f>
        <v>15.8</v>
      </c>
      <c r="H34" s="72" t="n">
        <f aca="false">H33-H32</f>
        <v>24.7</v>
      </c>
      <c r="I34" s="72" t="n">
        <f aca="false">I33-I32</f>
        <v>17.3</v>
      </c>
      <c r="J34" s="72" t="n">
        <f aca="false">J33-J32</f>
        <v>5.5</v>
      </c>
      <c r="K34" s="72" t="n">
        <f aca="false">K33-K32</f>
        <v>26.4</v>
      </c>
      <c r="L34" s="72" t="n">
        <f aca="false">L33-L32</f>
        <v>9.90000000000001</v>
      </c>
      <c r="M34" s="72" t="n">
        <f aca="false">M33-M32</f>
        <v>12.52125</v>
      </c>
      <c r="N34" s="72" t="n">
        <f aca="false">N33-N32</f>
        <v>12.52125</v>
      </c>
      <c r="O34" s="72" t="n">
        <f aca="false">O33-O32</f>
        <v>12.52125</v>
      </c>
      <c r="P34" s="72" t="n">
        <f aca="false">P33-P32</f>
        <v>12.52125</v>
      </c>
      <c r="Q34" s="72" t="n">
        <f aca="false">Q33-Q32</f>
        <v>12.52125</v>
      </c>
      <c r="R34" s="72" t="n">
        <f aca="false">R33-R32</f>
        <v>12.52125</v>
      </c>
      <c r="S34" s="72" t="n">
        <f aca="false">S33-S32</f>
        <v>12.52125</v>
      </c>
      <c r="T34" s="72" t="n">
        <f aca="false">T33-T32</f>
        <v>12.52125</v>
      </c>
      <c r="U34" s="72" t="n">
        <f aca="false">U33-U32</f>
        <v>12.52125</v>
      </c>
      <c r="V34" s="72" t="n">
        <f aca="false">V33-V32</f>
        <v>12.52125</v>
      </c>
      <c r="W34" s="72" t="n">
        <f aca="false">W33-W32</f>
        <v>11.269125</v>
      </c>
      <c r="X34" s="72" t="n">
        <f aca="false">X33-X32</f>
        <v>11.269125</v>
      </c>
      <c r="Y34" s="72" t="n">
        <f aca="false">Y33-Y32</f>
        <v>11.269125</v>
      </c>
      <c r="Z34" s="72" t="n">
        <f aca="false">Z33-Z32</f>
        <v>11.269125</v>
      </c>
      <c r="AA34" s="72" t="n">
        <f aca="false">AA33-AA32</f>
        <v>11.269125</v>
      </c>
      <c r="AB34" s="72" t="n">
        <f aca="false">AB33-AB32</f>
        <v>11.269125</v>
      </c>
    </row>
    <row r="35" customFormat="false" ht="15" hidden="false" customHeight="false" outlineLevel="0" collapsed="false">
      <c r="A35" s="28" t="s">
        <v>862</v>
      </c>
      <c r="B35" s="58" t="s">
        <v>863</v>
      </c>
      <c r="C35" s="59" t="n">
        <f aca="false">SUM(E35:P35)</f>
        <v>10446.3421560414</v>
      </c>
      <c r="D35" s="59" t="n">
        <f aca="false">SUM(Q35:AB35)</f>
        <v>8066.02702531899</v>
      </c>
      <c r="E35" s="60" t="n">
        <f aca="false">E34*Utilisation!E90</f>
        <v>1054.44869965478</v>
      </c>
      <c r="F35" s="60" t="n">
        <f aca="false">F34*Utilisation!F90</f>
        <v>1297.78301495972</v>
      </c>
      <c r="G35" s="60" t="n">
        <f aca="false">G34*Utilisation!G90</f>
        <v>854.373818181819</v>
      </c>
      <c r="H35" s="60" t="n">
        <f aca="false">H34*Utilisation!H90</f>
        <v>1335.63501956272</v>
      </c>
      <c r="I35" s="60" t="n">
        <f aca="false">I34*Utilisation!I90</f>
        <v>935.485256616802</v>
      </c>
      <c r="J35" s="60" t="n">
        <f aca="false">J34*Utilisation!J90</f>
        <v>297.408607594937</v>
      </c>
      <c r="K35" s="60" t="n">
        <f aca="false">K34*Utilisation!K90</f>
        <v>1427.5613164557</v>
      </c>
      <c r="L35" s="60" t="n">
        <f aca="false">L34*Utilisation!L90</f>
        <v>535.335493670887</v>
      </c>
      <c r="M35" s="60" t="n">
        <f aca="false">M34*Utilisation!M90</f>
        <v>677.077732336019</v>
      </c>
      <c r="N35" s="60" t="n">
        <f aca="false">N34*Utilisation!N90</f>
        <v>677.077732336019</v>
      </c>
      <c r="O35" s="60" t="n">
        <f aca="false">O34*Utilisation!O90</f>
        <v>677.077732336019</v>
      </c>
      <c r="P35" s="60" t="n">
        <f aca="false">P34*Utilisation!P90</f>
        <v>677.077732336019</v>
      </c>
      <c r="Q35" s="60" t="n">
        <f aca="false">Q34*Utilisation!Q90</f>
        <v>707.54623029114</v>
      </c>
      <c r="R35" s="60" t="n">
        <f aca="false">R34*Utilisation!R90</f>
        <v>707.54623029114</v>
      </c>
      <c r="S35" s="60" t="n">
        <f aca="false">S34*Utilisation!S90</f>
        <v>707.54623029114</v>
      </c>
      <c r="T35" s="60" t="n">
        <f aca="false">T34*Utilisation!T90</f>
        <v>707.54623029114</v>
      </c>
      <c r="U35" s="60" t="n">
        <f aca="false">U34*Utilisation!U90</f>
        <v>707.54623029114</v>
      </c>
      <c r="V35" s="60" t="n">
        <f aca="false">V34*Utilisation!V90</f>
        <v>707.54623029114</v>
      </c>
      <c r="W35" s="60" t="n">
        <f aca="false">W34*Utilisation!W90</f>
        <v>636.791607262026</v>
      </c>
      <c r="X35" s="60" t="n">
        <f aca="false">X34*Utilisation!X90</f>
        <v>636.791607262026</v>
      </c>
      <c r="Y35" s="60" t="n">
        <f aca="false">Y34*Utilisation!Y90</f>
        <v>636.791607262026</v>
      </c>
      <c r="Z35" s="60" t="n">
        <f aca="false">Z34*Utilisation!Z90</f>
        <v>636.791607262026</v>
      </c>
      <c r="AA35" s="60" t="n">
        <f aca="false">AA34*Utilisation!AA90</f>
        <v>636.791607262026</v>
      </c>
      <c r="AB35" s="60" t="n">
        <f aca="false">AB34*Utilisation!AB90</f>
        <v>636.791607262026</v>
      </c>
    </row>
    <row r="36" customFormat="false" ht="15" hidden="false" customHeight="false" outlineLevel="0" collapsed="false">
      <c r="A36" s="28" t="s">
        <v>864</v>
      </c>
      <c r="B36" s="58" t="s">
        <v>865</v>
      </c>
      <c r="C36" s="59" t="n">
        <f aca="false">SUM(E36:P36)</f>
        <v>216000</v>
      </c>
      <c r="D36" s="59" t="n">
        <f aca="false">SUM(Q36:AB36)</f>
        <v>209088</v>
      </c>
      <c r="E36" s="60" t="n">
        <f aca="false">IF(E$5="A",Inputs_Actuals!E22,E30)</f>
        <v>18000</v>
      </c>
      <c r="F36" s="60" t="n">
        <f aca="false">IF(F$5="A",Inputs_Actuals!F22,F30)</f>
        <v>18000</v>
      </c>
      <c r="G36" s="60" t="n">
        <f aca="false">IF(G$5="A",Inputs_Actuals!G22,G30)</f>
        <v>18000</v>
      </c>
      <c r="H36" s="60" t="n">
        <f aca="false">IF(H$5="A",Inputs_Actuals!H22,H30)</f>
        <v>18000</v>
      </c>
      <c r="I36" s="60" t="n">
        <f aca="false">IF(I$5="A",Inputs_Actuals!I22,I30)</f>
        <v>18000</v>
      </c>
      <c r="J36" s="60" t="n">
        <f aca="false">IF(J$5="A",Inputs_Actuals!J22,J30)</f>
        <v>18000</v>
      </c>
      <c r="K36" s="60" t="n">
        <f aca="false">IF(K$5="A",Inputs_Actuals!K22,K30)</f>
        <v>18000</v>
      </c>
      <c r="L36" s="60" t="n">
        <f aca="false">IF(L$5="A",Inputs_Actuals!L22,L30)</f>
        <v>18000</v>
      </c>
      <c r="M36" s="60" t="n">
        <f aca="false">IF(M$5="A",Inputs_Actuals!M22,M30)</f>
        <v>18000</v>
      </c>
      <c r="N36" s="60" t="n">
        <f aca="false">IF(N$5="A",Inputs_Actuals!N22,N30)</f>
        <v>18000</v>
      </c>
      <c r="O36" s="60" t="n">
        <f aca="false">IF(O$5="A",Inputs_Actuals!O22,O30)</f>
        <v>18000</v>
      </c>
      <c r="P36" s="60" t="n">
        <f aca="false">IF(P$5="A",Inputs_Actuals!P22,P30)</f>
        <v>18000</v>
      </c>
      <c r="Q36" s="60" t="n">
        <f aca="false">IF(Q$5="A",Inputs_Actuals!Q22,Q30)</f>
        <v>18000</v>
      </c>
      <c r="R36" s="60" t="n">
        <f aca="false">IF(R$5="A",Inputs_Actuals!R22,R30)</f>
        <v>18000</v>
      </c>
      <c r="S36" s="60" t="n">
        <f aca="false">IF(S$5="A",Inputs_Actuals!S22,S30)</f>
        <v>18000</v>
      </c>
      <c r="T36" s="60" t="n">
        <f aca="false">IF(T$5="A",Inputs_Actuals!T22,T30)</f>
        <v>18000</v>
      </c>
      <c r="U36" s="60" t="n">
        <f aca="false">IF(U$5="A",Inputs_Actuals!U22,U30)</f>
        <v>18000</v>
      </c>
      <c r="V36" s="60" t="n">
        <f aca="false">IF(V$5="A",Inputs_Actuals!V22,V30)</f>
        <v>18000</v>
      </c>
      <c r="W36" s="60" t="n">
        <f aca="false">IF(W$5="A",Inputs_Actuals!W22,W30)</f>
        <v>16848</v>
      </c>
      <c r="X36" s="60" t="n">
        <f aca="false">IF(X$5="A",Inputs_Actuals!X22,X30)</f>
        <v>16848</v>
      </c>
      <c r="Y36" s="60" t="n">
        <f aca="false">IF(Y$5="A",Inputs_Actuals!Y22,Y30)</f>
        <v>16848</v>
      </c>
      <c r="Z36" s="60" t="n">
        <f aca="false">IF(Z$5="A",Inputs_Actuals!Z22,Z30)</f>
        <v>16848</v>
      </c>
      <c r="AA36" s="60" t="n">
        <f aca="false">IF(AA$5="A",Inputs_Actuals!AA22,AA30)</f>
        <v>16848</v>
      </c>
      <c r="AB36" s="60" t="n">
        <f aca="false">IF(AB$5="A",Inputs_Actuals!AB22,AB30)</f>
        <v>16848</v>
      </c>
    </row>
    <row r="38" customFormat="false" ht="15" hidden="false" customHeight="false" outlineLevel="0" collapsed="false">
      <c r="A38" s="22" t="s">
        <v>869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row>
    <row r="39" customFormat="false" ht="15" hidden="false" customHeight="false" outlineLevel="0" collapsed="false">
      <c r="A39" s="28" t="s">
        <v>852</v>
      </c>
      <c r="B39" s="58" t="s">
        <v>79</v>
      </c>
      <c r="C39" s="110" t="n">
        <f aca="false">AVERAGE(E39:P39)</f>
        <v>0.583333333333333</v>
      </c>
      <c r="D39" s="110" t="n">
        <f aca="false">AVERAGE(Q39:AB39)</f>
        <v>0.9125</v>
      </c>
      <c r="E39" s="93" t="n">
        <f aca="false">IF(Assumptions!E$99&lt;Client_Register!$P$36,0,IF(Assumptions!E$99&lt;=Client_Register!$Q$36,1,Client_Register!$N$36))</f>
        <v>0</v>
      </c>
      <c r="F39" s="93" t="n">
        <f aca="false">IF(Assumptions!F$99&lt;Client_Register!$P$36,0,IF(Assumptions!F$99&lt;=Client_Register!$Q$36,1,Client_Register!$N$36))</f>
        <v>0</v>
      </c>
      <c r="G39" s="93" t="n">
        <f aca="false">IF(Assumptions!G$99&lt;Client_Register!$P$36,0,IF(Assumptions!G$99&lt;=Client_Register!$Q$36,1,Client_Register!$N$36))</f>
        <v>0</v>
      </c>
      <c r="H39" s="93" t="n">
        <f aca="false">IF(Assumptions!H$99&lt;Client_Register!$P$36,0,IF(Assumptions!H$99&lt;=Client_Register!$Q$36,1,Client_Register!$N$36))</f>
        <v>0</v>
      </c>
      <c r="I39" s="93" t="n">
        <f aca="false">IF(Assumptions!I$99&lt;Client_Register!$P$36,0,IF(Assumptions!I$99&lt;=Client_Register!$Q$36,1,Client_Register!$N$36))</f>
        <v>0</v>
      </c>
      <c r="J39" s="93" t="n">
        <f aca="false">IF(Assumptions!J$99&lt;Client_Register!$P$36,0,IF(Assumptions!J$99&lt;=Client_Register!$Q$36,1,Client_Register!$N$36))</f>
        <v>1</v>
      </c>
      <c r="K39" s="93" t="n">
        <f aca="false">IF(Assumptions!K$99&lt;Client_Register!$P$36,0,IF(Assumptions!K$99&lt;=Client_Register!$Q$36,1,Client_Register!$N$36))</f>
        <v>1</v>
      </c>
      <c r="L39" s="93" t="n">
        <f aca="false">IF(Assumptions!L$99&lt;Client_Register!$P$36,0,IF(Assumptions!L$99&lt;=Client_Register!$Q$36,1,Client_Register!$N$36))</f>
        <v>1</v>
      </c>
      <c r="M39" s="93" t="n">
        <f aca="false">IF(Assumptions!M$99&lt;Client_Register!$P$36,0,IF(Assumptions!M$99&lt;=Client_Register!$Q$36,1,Client_Register!$N$36))</f>
        <v>1</v>
      </c>
      <c r="N39" s="93" t="n">
        <f aca="false">IF(Assumptions!N$99&lt;Client_Register!$P$36,0,IF(Assumptions!N$99&lt;=Client_Register!$Q$36,1,Client_Register!$N$36))</f>
        <v>1</v>
      </c>
      <c r="O39" s="93" t="n">
        <f aca="false">IF(Assumptions!O$99&lt;Client_Register!$P$36,0,IF(Assumptions!O$99&lt;=Client_Register!$Q$36,1,Client_Register!$N$36))</f>
        <v>1</v>
      </c>
      <c r="P39" s="93" t="n">
        <f aca="false">IF(Assumptions!P$99&lt;Client_Register!$P$36,0,IF(Assumptions!P$99&lt;=Client_Register!$Q$36,1,Client_Register!$N$36))</f>
        <v>1</v>
      </c>
      <c r="Q39" s="93" t="n">
        <f aca="false">IF(Assumptions!Q$99&lt;Client_Register!$P$36,0,IF(Assumptions!Q$99&lt;=Client_Register!$Q$36,1,Client_Register!$N$36))</f>
        <v>1</v>
      </c>
      <c r="R39" s="93" t="n">
        <f aca="false">IF(Assumptions!R$99&lt;Client_Register!$P$36,0,IF(Assumptions!R$99&lt;=Client_Register!$Q$36,1,Client_Register!$N$36))</f>
        <v>1</v>
      </c>
      <c r="S39" s="93" t="n">
        <f aca="false">IF(Assumptions!S$99&lt;Client_Register!$P$36,0,IF(Assumptions!S$99&lt;=Client_Register!$Q$36,1,Client_Register!$N$36))</f>
        <v>1</v>
      </c>
      <c r="T39" s="93" t="n">
        <f aca="false">IF(Assumptions!T$99&lt;Client_Register!$P$36,0,IF(Assumptions!T$99&lt;=Client_Register!$Q$36,1,Client_Register!$N$36))</f>
        <v>1</v>
      </c>
      <c r="U39" s="93" t="n">
        <f aca="false">IF(Assumptions!U$99&lt;Client_Register!$P$36,0,IF(Assumptions!U$99&lt;=Client_Register!$Q$36,1,Client_Register!$N$36))</f>
        <v>1</v>
      </c>
      <c r="V39" s="93" t="n">
        <f aca="false">IF(Assumptions!V$99&lt;Client_Register!$P$36,0,IF(Assumptions!V$99&lt;=Client_Register!$Q$36,1,Client_Register!$N$36))</f>
        <v>0.85</v>
      </c>
      <c r="W39" s="93" t="n">
        <f aca="false">IF(Assumptions!W$99&lt;Client_Register!$P$36,0,IF(Assumptions!W$99&lt;=Client_Register!$Q$36,1,Client_Register!$N$36))</f>
        <v>0.85</v>
      </c>
      <c r="X39" s="93" t="n">
        <f aca="false">IF(Assumptions!X$99&lt;Client_Register!$P$36,0,IF(Assumptions!X$99&lt;=Client_Register!$Q$36,1,Client_Register!$N$36))</f>
        <v>0.85</v>
      </c>
      <c r="Y39" s="93" t="n">
        <f aca="false">IF(Assumptions!Y$99&lt;Client_Register!$P$36,0,IF(Assumptions!Y$99&lt;=Client_Register!$Q$36,1,Client_Register!$N$36))</f>
        <v>0.85</v>
      </c>
      <c r="Z39" s="93" t="n">
        <f aca="false">IF(Assumptions!Z$99&lt;Client_Register!$P$36,0,IF(Assumptions!Z$99&lt;=Client_Register!$Q$36,1,Client_Register!$N$36))</f>
        <v>0.85</v>
      </c>
      <c r="AA39" s="93" t="n">
        <f aca="false">IF(Assumptions!AA$99&lt;Client_Register!$P$36,0,IF(Assumptions!AA$99&lt;=Client_Register!$Q$36,1,Client_Register!$N$36))</f>
        <v>0.85</v>
      </c>
      <c r="AB39" s="93" t="n">
        <f aca="false">IF(Assumptions!AB$99&lt;Client_Register!$P$36,0,IF(Assumptions!AB$99&lt;=Client_Register!$Q$36,1,Client_Register!$N$36))</f>
        <v>0.85</v>
      </c>
    </row>
    <row r="40" customFormat="false" ht="15" hidden="false" customHeight="false" outlineLevel="0" collapsed="false">
      <c r="A40" s="28" t="s">
        <v>853</v>
      </c>
      <c r="B40" s="58" t="s">
        <v>854</v>
      </c>
      <c r="C40" s="59" t="n">
        <f aca="false">SUM(E40:P40)</f>
        <v>80500</v>
      </c>
      <c r="D40" s="59" t="n">
        <f aca="false">SUM(Q40:AB40)</f>
        <v>128662</v>
      </c>
      <c r="E40" s="60" t="n">
        <f aca="false">IF(E$5="A",Inputs_Actuals!E23,Client_Register!$G$36*E39*IF(Assumptions!E$99&gt;Client_Register!$Q$36,1+Assumptions!$F$114,1))</f>
        <v>0</v>
      </c>
      <c r="F40" s="60" t="n">
        <f aca="false">IF(F$5="A",Inputs_Actuals!F23,Client_Register!$G$36*F39*IF(Assumptions!F$99&gt;Client_Register!$Q$36,1+Assumptions!$F$114,1))</f>
        <v>0</v>
      </c>
      <c r="G40" s="60" t="n">
        <f aca="false">IF(G$5="A",Inputs_Actuals!G23,Client_Register!$G$36*G39*IF(Assumptions!G$99&gt;Client_Register!$Q$36,1+Assumptions!$F$114,1))</f>
        <v>0</v>
      </c>
      <c r="H40" s="60" t="n">
        <f aca="false">IF(H$5="A",Inputs_Actuals!H23,Client_Register!$G$36*H39*IF(Assumptions!H$99&gt;Client_Register!$Q$36,1+Assumptions!$F$114,1))</f>
        <v>0</v>
      </c>
      <c r="I40" s="60" t="n">
        <f aca="false">IF(I$5="A",Inputs_Actuals!I23,Client_Register!$G$36*I39*IF(Assumptions!I$99&gt;Client_Register!$Q$36,1+Assumptions!$F$114,1))</f>
        <v>0</v>
      </c>
      <c r="J40" s="60" t="n">
        <f aca="false">IF(J$5="A",Inputs_Actuals!J23,Client_Register!$G$36*J39*IF(Assumptions!J$99&gt;Client_Register!$Q$36,1+Assumptions!$F$114,1))</f>
        <v>11500</v>
      </c>
      <c r="K40" s="60" t="n">
        <f aca="false">IF(K$5="A",Inputs_Actuals!K23,Client_Register!$G$36*K39*IF(Assumptions!K$99&gt;Client_Register!$Q$36,1+Assumptions!$F$114,1))</f>
        <v>11500</v>
      </c>
      <c r="L40" s="60" t="n">
        <f aca="false">IF(L$5="A",Inputs_Actuals!L23,Client_Register!$G$36*L39*IF(Assumptions!L$99&gt;Client_Register!$Q$36,1+Assumptions!$F$114,1))</f>
        <v>11500</v>
      </c>
      <c r="M40" s="60" t="n">
        <f aca="false">IF(M$5="A",Inputs_Actuals!M23,Client_Register!$G$36*M39*IF(Assumptions!M$99&gt;Client_Register!$Q$36,1+Assumptions!$F$114,1))</f>
        <v>11500</v>
      </c>
      <c r="N40" s="60" t="n">
        <f aca="false">IF(N$5="A",Inputs_Actuals!N23,Client_Register!$G$36*N39*IF(Assumptions!N$99&gt;Client_Register!$Q$36,1+Assumptions!$F$114,1))</f>
        <v>11500</v>
      </c>
      <c r="O40" s="60" t="n">
        <f aca="false">IF(O$5="A",Inputs_Actuals!O23,Client_Register!$G$36*O39*IF(Assumptions!O$99&gt;Client_Register!$Q$36,1+Assumptions!$F$114,1))</f>
        <v>11500</v>
      </c>
      <c r="P40" s="60" t="n">
        <f aca="false">IF(P$5="A",Inputs_Actuals!P23,Client_Register!$G$36*P39*IF(Assumptions!P$99&gt;Client_Register!$Q$36,1+Assumptions!$F$114,1))</f>
        <v>11500</v>
      </c>
      <c r="Q40" s="60" t="n">
        <f aca="false">IF(Q$5="A",Inputs_Actuals!Q23,Client_Register!$G$36*Q39*IF(Assumptions!Q$99&gt;Client_Register!$Q$36,1+Assumptions!$F$114,1))</f>
        <v>11500</v>
      </c>
      <c r="R40" s="60" t="n">
        <f aca="false">IF(R$5="A",Inputs_Actuals!R23,Client_Register!$G$36*R39*IF(Assumptions!R$99&gt;Client_Register!$Q$36,1+Assumptions!$F$114,1))</f>
        <v>11500</v>
      </c>
      <c r="S40" s="60" t="n">
        <f aca="false">IF(S$5="A",Inputs_Actuals!S23,Client_Register!$G$36*S39*IF(Assumptions!S$99&gt;Client_Register!$Q$36,1+Assumptions!$F$114,1))</f>
        <v>11500</v>
      </c>
      <c r="T40" s="60" t="n">
        <f aca="false">IF(T$5="A",Inputs_Actuals!T23,Client_Register!$G$36*T39*IF(Assumptions!T$99&gt;Client_Register!$Q$36,1+Assumptions!$F$114,1))</f>
        <v>11500</v>
      </c>
      <c r="U40" s="60" t="n">
        <f aca="false">IF(U$5="A",Inputs_Actuals!U23,Client_Register!$G$36*U39*IF(Assumptions!U$99&gt;Client_Register!$Q$36,1+Assumptions!$F$114,1))</f>
        <v>11500</v>
      </c>
      <c r="V40" s="60" t="n">
        <f aca="false">IF(V$5="A",Inputs_Actuals!V23,Client_Register!$G$36*V39*IF(Assumptions!V$99&gt;Client_Register!$Q$36,1+Assumptions!$F$114,1))</f>
        <v>10166</v>
      </c>
      <c r="W40" s="60" t="n">
        <f aca="false">IF(W$5="A",Inputs_Actuals!W23,Client_Register!$G$36*W39*IF(Assumptions!W$99&gt;Client_Register!$Q$36,1+Assumptions!$F$114,1))</f>
        <v>10166</v>
      </c>
      <c r="X40" s="60" t="n">
        <f aca="false">IF(X$5="A",Inputs_Actuals!X23,Client_Register!$G$36*X39*IF(Assumptions!X$99&gt;Client_Register!$Q$36,1+Assumptions!$F$114,1))</f>
        <v>10166</v>
      </c>
      <c r="Y40" s="60" t="n">
        <f aca="false">IF(Y$5="A",Inputs_Actuals!Y23,Client_Register!$G$36*Y39*IF(Assumptions!Y$99&gt;Client_Register!$Q$36,1+Assumptions!$F$114,1))</f>
        <v>10166</v>
      </c>
      <c r="Z40" s="60" t="n">
        <f aca="false">IF(Z$5="A",Inputs_Actuals!Z23,Client_Register!$G$36*Z39*IF(Assumptions!Z$99&gt;Client_Register!$Q$36,1+Assumptions!$F$114,1))</f>
        <v>10166</v>
      </c>
      <c r="AA40" s="60" t="n">
        <f aca="false">IF(AA$5="A",Inputs_Actuals!AA23,Client_Register!$G$36*AA39*IF(Assumptions!AA$99&gt;Client_Register!$Q$36,1+Assumptions!$F$114,1))</f>
        <v>10166</v>
      </c>
      <c r="AB40" s="60" t="n">
        <f aca="false">IF(AB$5="A",Inputs_Actuals!AB23,Client_Register!$G$36*AB39*IF(Assumptions!AB$99&gt;Client_Register!$Q$36,1+Assumptions!$F$114,1))</f>
        <v>10166</v>
      </c>
    </row>
    <row r="41" customFormat="false" ht="15" hidden="false" customHeight="false" outlineLevel="0" collapsed="false">
      <c r="A41" s="28" t="s">
        <v>855</v>
      </c>
      <c r="B41" s="58" t="s">
        <v>856</v>
      </c>
      <c r="C41" s="59" t="n">
        <f aca="false">SUM(E41:P41)</f>
        <v>93835.0987466774</v>
      </c>
      <c r="D41" s="59" t="n">
        <f aca="false">SUM(Q41:AB41)</f>
        <v>150221.838221558</v>
      </c>
      <c r="E41" s="60" t="n">
        <f aca="false">E40/FX!E9</f>
        <v>0</v>
      </c>
      <c r="F41" s="60" t="n">
        <f aca="false">F40/FX!F9</f>
        <v>0</v>
      </c>
      <c r="G41" s="60" t="n">
        <f aca="false">G40/FX!G9</f>
        <v>0</v>
      </c>
      <c r="H41" s="60" t="n">
        <f aca="false">H40/FX!H9</f>
        <v>0</v>
      </c>
      <c r="I41" s="60" t="n">
        <f aca="false">I40/FX!I9</f>
        <v>0</v>
      </c>
      <c r="J41" s="60" t="n">
        <f aca="false">J40/FX!J9</f>
        <v>13302.4869866975</v>
      </c>
      <c r="K41" s="60" t="n">
        <f aca="false">K40/FX!K9</f>
        <v>13391.557496361</v>
      </c>
      <c r="L41" s="60" t="n">
        <f aca="false">L40/FX!L9</f>
        <v>13432.8532548387</v>
      </c>
      <c r="M41" s="60" t="n">
        <f aca="false">M40/FX!M9</f>
        <v>13427.050252195</v>
      </c>
      <c r="N41" s="60" t="n">
        <f aca="false">N40/FX!N9</f>
        <v>13427.050252195</v>
      </c>
      <c r="O41" s="60" t="n">
        <f aca="false">O40/FX!O9</f>
        <v>13427.050252195</v>
      </c>
      <c r="P41" s="60" t="n">
        <f aca="false">P40/FX!P9</f>
        <v>13427.050252195</v>
      </c>
      <c r="Q41" s="60" t="n">
        <f aca="false">Q40/FX!Q9</f>
        <v>13427.050252195</v>
      </c>
      <c r="R41" s="60" t="n">
        <f aca="false">R40/FX!R9</f>
        <v>13427.050252195</v>
      </c>
      <c r="S41" s="60" t="n">
        <f aca="false">S40/FX!S9</f>
        <v>13427.050252195</v>
      </c>
      <c r="T41" s="60" t="n">
        <f aca="false">T40/FX!T9</f>
        <v>13427.050252195</v>
      </c>
      <c r="U41" s="60" t="n">
        <f aca="false">U40/FX!U9</f>
        <v>13427.050252195</v>
      </c>
      <c r="V41" s="60" t="n">
        <f aca="false">V40/FX!V9</f>
        <v>11869.5124229404</v>
      </c>
      <c r="W41" s="60" t="n">
        <f aca="false">W40/FX!W9</f>
        <v>11869.5124229404</v>
      </c>
      <c r="X41" s="60" t="n">
        <f aca="false">X40/FX!X9</f>
        <v>11869.5124229404</v>
      </c>
      <c r="Y41" s="60" t="n">
        <f aca="false">Y40/FX!Y9</f>
        <v>11869.5124229404</v>
      </c>
      <c r="Z41" s="60" t="n">
        <f aca="false">Z40/FX!Z9</f>
        <v>11869.5124229404</v>
      </c>
      <c r="AA41" s="60" t="n">
        <f aca="false">AA40/FX!AA9</f>
        <v>11869.5124229404</v>
      </c>
      <c r="AB41" s="60" t="n">
        <f aca="false">AB40/FX!AB9</f>
        <v>11869.5124229404</v>
      </c>
    </row>
    <row r="42" customFormat="false" ht="15" hidden="false" customHeight="false" outlineLevel="0" collapsed="false">
      <c r="A42" s="28" t="s">
        <v>857</v>
      </c>
      <c r="B42" s="58" t="s">
        <v>858</v>
      </c>
      <c r="C42" s="66" t="n">
        <f aca="false">SUM(E42:P42)</f>
        <v>980</v>
      </c>
      <c r="D42" s="66" t="n">
        <f aca="false">SUM(Q42:AB42)</f>
        <v>1533</v>
      </c>
      <c r="E42" s="67" t="n">
        <f aca="false">Client_Register!$H$36*E39</f>
        <v>0</v>
      </c>
      <c r="F42" s="67" t="n">
        <f aca="false">Client_Register!$H$36*F39</f>
        <v>0</v>
      </c>
      <c r="G42" s="67" t="n">
        <f aca="false">Client_Register!$H$36*G39</f>
        <v>0</v>
      </c>
      <c r="H42" s="67" t="n">
        <f aca="false">Client_Register!$H$36*H39</f>
        <v>0</v>
      </c>
      <c r="I42" s="67" t="n">
        <f aca="false">Client_Register!$H$36*I39</f>
        <v>0</v>
      </c>
      <c r="J42" s="67" t="n">
        <f aca="false">Client_Register!$H$36*J39</f>
        <v>140</v>
      </c>
      <c r="K42" s="67" t="n">
        <f aca="false">Client_Register!$H$36*K39</f>
        <v>140</v>
      </c>
      <c r="L42" s="67" t="n">
        <f aca="false">Client_Register!$H$36*L39</f>
        <v>140</v>
      </c>
      <c r="M42" s="67" t="n">
        <f aca="false">Client_Register!$H$36*M39</f>
        <v>140</v>
      </c>
      <c r="N42" s="67" t="n">
        <f aca="false">Client_Register!$H$36*N39</f>
        <v>140</v>
      </c>
      <c r="O42" s="67" t="n">
        <f aca="false">Client_Register!$H$36*O39</f>
        <v>140</v>
      </c>
      <c r="P42" s="67" t="n">
        <f aca="false">Client_Register!$H$36*P39</f>
        <v>140</v>
      </c>
      <c r="Q42" s="67" t="n">
        <f aca="false">Client_Register!$H$36*Q39</f>
        <v>140</v>
      </c>
      <c r="R42" s="67" t="n">
        <f aca="false">Client_Register!$H$36*R39</f>
        <v>140</v>
      </c>
      <c r="S42" s="67" t="n">
        <f aca="false">Client_Register!$H$36*S39</f>
        <v>140</v>
      </c>
      <c r="T42" s="67" t="n">
        <f aca="false">Client_Register!$H$36*T39</f>
        <v>140</v>
      </c>
      <c r="U42" s="67" t="n">
        <f aca="false">Client_Register!$H$36*U39</f>
        <v>140</v>
      </c>
      <c r="V42" s="67" t="n">
        <f aca="false">Client_Register!$H$36*V39</f>
        <v>119</v>
      </c>
      <c r="W42" s="67" t="n">
        <f aca="false">Client_Register!$H$36*W39</f>
        <v>119</v>
      </c>
      <c r="X42" s="67" t="n">
        <f aca="false">Client_Register!$H$36*X39</f>
        <v>119</v>
      </c>
      <c r="Y42" s="67" t="n">
        <f aca="false">Client_Register!$H$36*Y39</f>
        <v>119</v>
      </c>
      <c r="Z42" s="67" t="n">
        <f aca="false">Client_Register!$H$36*Z39</f>
        <v>119</v>
      </c>
      <c r="AA42" s="67" t="n">
        <f aca="false">Client_Register!$H$36*AA39</f>
        <v>119</v>
      </c>
      <c r="AB42" s="67" t="n">
        <f aca="false">Client_Register!$H$36*AB39</f>
        <v>119</v>
      </c>
    </row>
    <row r="43" customFormat="false" ht="15" hidden="false" customHeight="false" outlineLevel="0" collapsed="false">
      <c r="A43" s="28" t="s">
        <v>802</v>
      </c>
      <c r="B43" s="58" t="s">
        <v>859</v>
      </c>
      <c r="C43" s="66" t="n">
        <f aca="false">SUM(E43:P43)</f>
        <v>1033.55333333333</v>
      </c>
      <c r="D43" s="66" t="n">
        <f aca="false">SUM(Q43:AB43)</f>
        <v>1603.7735</v>
      </c>
      <c r="E43" s="67" t="n">
        <f aca="false">IF(E$5="A",Inputs_Actuals!E24,E42*(1+Client_Register!$S$36))</f>
        <v>0</v>
      </c>
      <c r="F43" s="67" t="n">
        <f aca="false">IF(F$5="A",Inputs_Actuals!F24,F42*(1+Client_Register!$S$36))</f>
        <v>0</v>
      </c>
      <c r="G43" s="67" t="n">
        <f aca="false">IF(G$5="A",Inputs_Actuals!G24,G42*(1+Client_Register!$S$36))</f>
        <v>0</v>
      </c>
      <c r="H43" s="67" t="n">
        <f aca="false">IF(H$5="A",Inputs_Actuals!H24,H42*(1+Client_Register!$S$36))</f>
        <v>0</v>
      </c>
      <c r="I43" s="67" t="n">
        <f aca="false">IF(I$5="A",Inputs_Actuals!I24,I42*(1+Client_Register!$S$36))</f>
        <v>0</v>
      </c>
      <c r="J43" s="67" t="n">
        <f aca="false">IF(J$5="A",Inputs_Actuals!J24,J42*(1+Client_Register!$S$36))</f>
        <v>153.2</v>
      </c>
      <c r="K43" s="67" t="n">
        <f aca="false">IF(K$5="A",Inputs_Actuals!K24,K42*(1+Client_Register!$S$36))</f>
        <v>146.2</v>
      </c>
      <c r="L43" s="67" t="n">
        <f aca="false">IF(L$5="A",Inputs_Actuals!L24,L42*(1+Client_Register!$S$36))</f>
        <v>148.3</v>
      </c>
      <c r="M43" s="67" t="n">
        <f aca="false">IF(M$5="A",Inputs_Actuals!M24,M42*(1+Client_Register!$S$36))</f>
        <v>146.463333333333</v>
      </c>
      <c r="N43" s="67" t="n">
        <f aca="false">IF(N$5="A",Inputs_Actuals!N24,N42*(1+Client_Register!$S$36))</f>
        <v>146.463333333333</v>
      </c>
      <c r="O43" s="67" t="n">
        <f aca="false">IF(O$5="A",Inputs_Actuals!O24,O42*(1+Client_Register!$S$36))</f>
        <v>146.463333333333</v>
      </c>
      <c r="P43" s="67" t="n">
        <f aca="false">IF(P$5="A",Inputs_Actuals!P24,P42*(1+Client_Register!$S$36))</f>
        <v>146.463333333333</v>
      </c>
      <c r="Q43" s="67" t="n">
        <f aca="false">IF(Q$5="A",Inputs_Actuals!Q24,Q42*(1+Client_Register!$S$36))</f>
        <v>146.463333333333</v>
      </c>
      <c r="R43" s="67" t="n">
        <f aca="false">IF(R$5="A",Inputs_Actuals!R24,R42*(1+Client_Register!$S$36))</f>
        <v>146.463333333333</v>
      </c>
      <c r="S43" s="67" t="n">
        <f aca="false">IF(S$5="A",Inputs_Actuals!S24,S42*(1+Client_Register!$S$36))</f>
        <v>146.463333333333</v>
      </c>
      <c r="T43" s="67" t="n">
        <f aca="false">IF(T$5="A",Inputs_Actuals!T24,T42*(1+Client_Register!$S$36))</f>
        <v>146.463333333333</v>
      </c>
      <c r="U43" s="67" t="n">
        <f aca="false">IF(U$5="A",Inputs_Actuals!U24,U42*(1+Client_Register!$S$36))</f>
        <v>146.463333333333</v>
      </c>
      <c r="V43" s="67" t="n">
        <f aca="false">IF(V$5="A",Inputs_Actuals!V24,V42*(1+Client_Register!$S$36))</f>
        <v>124.493833333333</v>
      </c>
      <c r="W43" s="67" t="n">
        <f aca="false">IF(W$5="A",Inputs_Actuals!W24,W42*(1+Client_Register!$S$36))</f>
        <v>124.493833333333</v>
      </c>
      <c r="X43" s="67" t="n">
        <f aca="false">IF(X$5="A",Inputs_Actuals!X24,X42*(1+Client_Register!$S$36))</f>
        <v>124.493833333333</v>
      </c>
      <c r="Y43" s="67" t="n">
        <f aca="false">IF(Y$5="A",Inputs_Actuals!Y24,Y42*(1+Client_Register!$S$36))</f>
        <v>124.493833333333</v>
      </c>
      <c r="Z43" s="67" t="n">
        <f aca="false">IF(Z$5="A",Inputs_Actuals!Z24,Z42*(1+Client_Register!$S$36))</f>
        <v>124.493833333333</v>
      </c>
      <c r="AA43" s="67" t="n">
        <f aca="false">IF(AA$5="A",Inputs_Actuals!AA24,AA42*(1+Client_Register!$S$36))</f>
        <v>124.493833333333</v>
      </c>
      <c r="AB43" s="67" t="n">
        <f aca="false">IF(AB$5="A",Inputs_Actuals!AB24,AB42*(1+Client_Register!$S$36))</f>
        <v>124.493833333333</v>
      </c>
    </row>
    <row r="44" customFormat="false" ht="15" hidden="false" customHeight="false" outlineLevel="0" collapsed="false">
      <c r="A44" s="28" t="s">
        <v>860</v>
      </c>
      <c r="B44" s="58" t="s">
        <v>861</v>
      </c>
      <c r="C44" s="66" t="n">
        <f aca="false">SUM(E44:P44)</f>
        <v>53.5533333333333</v>
      </c>
      <c r="D44" s="66" t="n">
        <f aca="false">SUM(Q44:AB44)</f>
        <v>70.7735000000001</v>
      </c>
      <c r="E44" s="72" t="n">
        <f aca="false">E43-E42</f>
        <v>0</v>
      </c>
      <c r="F44" s="72" t="n">
        <f aca="false">F43-F42</f>
        <v>0</v>
      </c>
      <c r="G44" s="72" t="n">
        <f aca="false">G43-G42</f>
        <v>0</v>
      </c>
      <c r="H44" s="72" t="n">
        <f aca="false">H43-H42</f>
        <v>0</v>
      </c>
      <c r="I44" s="72" t="n">
        <f aca="false">I43-I42</f>
        <v>0</v>
      </c>
      <c r="J44" s="72" t="n">
        <f aca="false">J43-J42</f>
        <v>13.2</v>
      </c>
      <c r="K44" s="72" t="n">
        <f aca="false">K43-K42</f>
        <v>6.19999999999999</v>
      </c>
      <c r="L44" s="72" t="n">
        <f aca="false">L43-L42</f>
        <v>8.30000000000001</v>
      </c>
      <c r="M44" s="72" t="n">
        <f aca="false">M43-M42</f>
        <v>6.46333333333334</v>
      </c>
      <c r="N44" s="72" t="n">
        <f aca="false">N43-N42</f>
        <v>6.46333333333334</v>
      </c>
      <c r="O44" s="72" t="n">
        <f aca="false">O43-O42</f>
        <v>6.46333333333334</v>
      </c>
      <c r="P44" s="72" t="n">
        <f aca="false">P43-P42</f>
        <v>6.46333333333334</v>
      </c>
      <c r="Q44" s="72" t="n">
        <f aca="false">Q43-Q42</f>
        <v>6.46333333333334</v>
      </c>
      <c r="R44" s="72" t="n">
        <f aca="false">R43-R42</f>
        <v>6.46333333333334</v>
      </c>
      <c r="S44" s="72" t="n">
        <f aca="false">S43-S42</f>
        <v>6.46333333333334</v>
      </c>
      <c r="T44" s="72" t="n">
        <f aca="false">T43-T42</f>
        <v>6.46333333333334</v>
      </c>
      <c r="U44" s="72" t="n">
        <f aca="false">U43-U42</f>
        <v>6.46333333333334</v>
      </c>
      <c r="V44" s="72" t="n">
        <f aca="false">V43-V42</f>
        <v>5.49383333333334</v>
      </c>
      <c r="W44" s="72" t="n">
        <f aca="false">W43-W42</f>
        <v>5.49383333333334</v>
      </c>
      <c r="X44" s="72" t="n">
        <f aca="false">X43-X42</f>
        <v>5.49383333333334</v>
      </c>
      <c r="Y44" s="72" t="n">
        <f aca="false">Y43-Y42</f>
        <v>5.49383333333334</v>
      </c>
      <c r="Z44" s="72" t="n">
        <f aca="false">Z43-Z42</f>
        <v>5.49383333333334</v>
      </c>
      <c r="AA44" s="72" t="n">
        <f aca="false">AA43-AA42</f>
        <v>5.49383333333334</v>
      </c>
      <c r="AB44" s="72" t="n">
        <f aca="false">AB43-AB42</f>
        <v>5.49383333333334</v>
      </c>
    </row>
    <row r="45" customFormat="false" ht="15" hidden="false" customHeight="false" outlineLevel="0" collapsed="false">
      <c r="A45" s="28" t="s">
        <v>862</v>
      </c>
      <c r="B45" s="58" t="s">
        <v>863</v>
      </c>
      <c r="C45" s="59" t="n">
        <f aca="false">SUM(E45:P45)</f>
        <v>2491.49383401611</v>
      </c>
      <c r="D45" s="59" t="n">
        <f aca="false">SUM(Q45:AB45)</f>
        <v>3440.80668076406</v>
      </c>
      <c r="E45" s="60" t="n">
        <f aca="false">E44*Utilisation!E88</f>
        <v>0</v>
      </c>
      <c r="F45" s="60" t="n">
        <f aca="false">F44*Utilisation!F88</f>
        <v>0</v>
      </c>
      <c r="G45" s="60" t="n">
        <f aca="false">G44*Utilisation!G88</f>
        <v>0</v>
      </c>
      <c r="H45" s="60" t="n">
        <f aca="false">H44*Utilisation!H88</f>
        <v>0</v>
      </c>
      <c r="I45" s="60" t="n">
        <f aca="false">I44*Utilisation!I88</f>
        <v>0</v>
      </c>
      <c r="J45" s="60" t="n">
        <f aca="false">J44*Utilisation!J88</f>
        <v>614.11151392405</v>
      </c>
      <c r="K45" s="60" t="n">
        <f aca="false">K44*Utilisation!K88</f>
        <v>288.446317146145</v>
      </c>
      <c r="L45" s="60" t="n">
        <f aca="false">L44*Utilisation!L88</f>
        <v>386.145876179517</v>
      </c>
      <c r="M45" s="60" t="n">
        <f aca="false">M44*Utilisation!M88</f>
        <v>300.6975316916</v>
      </c>
      <c r="N45" s="60" t="n">
        <f aca="false">N44*Utilisation!N88</f>
        <v>300.6975316916</v>
      </c>
      <c r="O45" s="60" t="n">
        <f aca="false">O44*Utilisation!O88</f>
        <v>300.6975316916</v>
      </c>
      <c r="P45" s="60" t="n">
        <f aca="false">P44*Utilisation!P88</f>
        <v>300.6975316916</v>
      </c>
      <c r="Q45" s="60" t="n">
        <f aca="false">Q44*Utilisation!Q88</f>
        <v>314.228920617722</v>
      </c>
      <c r="R45" s="60" t="n">
        <f aca="false">R44*Utilisation!R88</f>
        <v>314.228920617722</v>
      </c>
      <c r="S45" s="60" t="n">
        <f aca="false">S44*Utilisation!S88</f>
        <v>314.228920617722</v>
      </c>
      <c r="T45" s="60" t="n">
        <f aca="false">T44*Utilisation!T88</f>
        <v>314.228920617722</v>
      </c>
      <c r="U45" s="60" t="n">
        <f aca="false">U44*Utilisation!U88</f>
        <v>314.228920617722</v>
      </c>
      <c r="V45" s="60" t="n">
        <f aca="false">V44*Utilisation!V88</f>
        <v>267.094582525064</v>
      </c>
      <c r="W45" s="60" t="n">
        <f aca="false">W44*Utilisation!W88</f>
        <v>267.094582525064</v>
      </c>
      <c r="X45" s="60" t="n">
        <f aca="false">X44*Utilisation!X88</f>
        <v>267.094582525064</v>
      </c>
      <c r="Y45" s="60" t="n">
        <f aca="false">Y44*Utilisation!Y88</f>
        <v>267.094582525064</v>
      </c>
      <c r="Z45" s="60" t="n">
        <f aca="false">Z44*Utilisation!Z88</f>
        <v>267.094582525064</v>
      </c>
      <c r="AA45" s="60" t="n">
        <f aca="false">AA44*Utilisation!AA88</f>
        <v>267.094582525064</v>
      </c>
      <c r="AB45" s="60" t="n">
        <f aca="false">AB44*Utilisation!AB88</f>
        <v>267.094582525064</v>
      </c>
    </row>
    <row r="46" customFormat="false" ht="15" hidden="false" customHeight="false" outlineLevel="0" collapsed="false">
      <c r="A46" s="28" t="s">
        <v>864</v>
      </c>
      <c r="B46" s="58" t="s">
        <v>865</v>
      </c>
      <c r="C46" s="59" t="n">
        <f aca="false">SUM(E46:P46)</f>
        <v>80500</v>
      </c>
      <c r="D46" s="59" t="n">
        <f aca="false">SUM(Q46:AB46)</f>
        <v>128662</v>
      </c>
      <c r="E46" s="60" t="n">
        <f aca="false">IF(E$5="A",Inputs_Actuals!E25,E40)</f>
        <v>0</v>
      </c>
      <c r="F46" s="60" t="n">
        <f aca="false">IF(F$5="A",Inputs_Actuals!F25,F40)</f>
        <v>0</v>
      </c>
      <c r="G46" s="60" t="n">
        <f aca="false">IF(G$5="A",Inputs_Actuals!G25,G40)</f>
        <v>0</v>
      </c>
      <c r="H46" s="60" t="n">
        <f aca="false">IF(H$5="A",Inputs_Actuals!H25,H40)</f>
        <v>0</v>
      </c>
      <c r="I46" s="60" t="n">
        <f aca="false">IF(I$5="A",Inputs_Actuals!I25,I40)</f>
        <v>0</v>
      </c>
      <c r="J46" s="60" t="n">
        <f aca="false">IF(J$5="A",Inputs_Actuals!J25,J40)</f>
        <v>11500</v>
      </c>
      <c r="K46" s="60" t="n">
        <f aca="false">IF(K$5="A",Inputs_Actuals!K25,K40)</f>
        <v>11500</v>
      </c>
      <c r="L46" s="60" t="n">
        <f aca="false">IF(L$5="A",Inputs_Actuals!L25,L40)</f>
        <v>11500</v>
      </c>
      <c r="M46" s="60" t="n">
        <f aca="false">IF(M$5="A",Inputs_Actuals!M25,M40)</f>
        <v>11500</v>
      </c>
      <c r="N46" s="60" t="n">
        <f aca="false">IF(N$5="A",Inputs_Actuals!N25,N40)</f>
        <v>11500</v>
      </c>
      <c r="O46" s="60" t="n">
        <f aca="false">IF(O$5="A",Inputs_Actuals!O25,O40)</f>
        <v>11500</v>
      </c>
      <c r="P46" s="60" t="n">
        <f aca="false">IF(P$5="A",Inputs_Actuals!P25,P40)</f>
        <v>11500</v>
      </c>
      <c r="Q46" s="60" t="n">
        <f aca="false">IF(Q$5="A",Inputs_Actuals!Q25,Q40)</f>
        <v>11500</v>
      </c>
      <c r="R46" s="60" t="n">
        <f aca="false">IF(R$5="A",Inputs_Actuals!R25,R40)</f>
        <v>11500</v>
      </c>
      <c r="S46" s="60" t="n">
        <f aca="false">IF(S$5="A",Inputs_Actuals!S25,S40)</f>
        <v>11500</v>
      </c>
      <c r="T46" s="60" t="n">
        <f aca="false">IF(T$5="A",Inputs_Actuals!T25,T40)</f>
        <v>11500</v>
      </c>
      <c r="U46" s="60" t="n">
        <f aca="false">IF(U$5="A",Inputs_Actuals!U25,U40)</f>
        <v>11500</v>
      </c>
      <c r="V46" s="60" t="n">
        <f aca="false">IF(V$5="A",Inputs_Actuals!V25,V40)</f>
        <v>10166</v>
      </c>
      <c r="W46" s="60" t="n">
        <f aca="false">IF(W$5="A",Inputs_Actuals!W25,W40)</f>
        <v>10166</v>
      </c>
      <c r="X46" s="60" t="n">
        <f aca="false">IF(X$5="A",Inputs_Actuals!X25,X40)</f>
        <v>10166</v>
      </c>
      <c r="Y46" s="60" t="n">
        <f aca="false">IF(Y$5="A",Inputs_Actuals!Y25,Y40)</f>
        <v>10166</v>
      </c>
      <c r="Z46" s="60" t="n">
        <f aca="false">IF(Z$5="A",Inputs_Actuals!Z25,Z40)</f>
        <v>10166</v>
      </c>
      <c r="AA46" s="60" t="n">
        <f aca="false">IF(AA$5="A",Inputs_Actuals!AA25,AA40)</f>
        <v>10166</v>
      </c>
      <c r="AB46" s="60" t="n">
        <f aca="false">IF(AB$5="A",Inputs_Actuals!AB25,AB40)</f>
        <v>10166</v>
      </c>
    </row>
    <row r="48" customFormat="false" ht="15" hidden="false" customHeight="false" outlineLevel="0" collapsed="false">
      <c r="A48" s="22" t="s">
        <v>870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row>
    <row r="49" customFormat="false" ht="15" hidden="false" customHeight="false" outlineLevel="0" collapsed="false">
      <c r="A49" s="28" t="s">
        <v>852</v>
      </c>
      <c r="B49" s="58" t="s">
        <v>79</v>
      </c>
      <c r="C49" s="110" t="n">
        <f aca="false">AVERAGE(E49:P49)</f>
        <v>0.75</v>
      </c>
      <c r="D49" s="110" t="n">
        <f aca="false">AVERAGE(Q49:AB49)</f>
        <v>0.925</v>
      </c>
      <c r="E49" s="93" t="n">
        <f aca="false">IF(Assumptions!E$99&lt;Client_Register!$P$37,0,IF(Assumptions!E$99&lt;=Client_Register!$Q$37,1,Client_Register!$N$37))</f>
        <v>0</v>
      </c>
      <c r="F49" s="93" t="n">
        <f aca="false">IF(Assumptions!F$99&lt;Client_Register!$P$37,0,IF(Assumptions!F$99&lt;=Client_Register!$Q$37,1,Client_Register!$N$37))</f>
        <v>0</v>
      </c>
      <c r="G49" s="93" t="n">
        <f aca="false">IF(Assumptions!G$99&lt;Client_Register!$P$37,0,IF(Assumptions!G$99&lt;=Client_Register!$Q$37,1,Client_Register!$N$37))</f>
        <v>0</v>
      </c>
      <c r="H49" s="93" t="n">
        <f aca="false">IF(Assumptions!H$99&lt;Client_Register!$P$37,0,IF(Assumptions!H$99&lt;=Client_Register!$Q$37,1,Client_Register!$N$37))</f>
        <v>1</v>
      </c>
      <c r="I49" s="93" t="n">
        <f aca="false">IF(Assumptions!I$99&lt;Client_Register!$P$37,0,IF(Assumptions!I$99&lt;=Client_Register!$Q$37,1,Client_Register!$N$37))</f>
        <v>1</v>
      </c>
      <c r="J49" s="93" t="n">
        <f aca="false">IF(Assumptions!J$99&lt;Client_Register!$P$37,0,IF(Assumptions!J$99&lt;=Client_Register!$Q$37,1,Client_Register!$N$37))</f>
        <v>1</v>
      </c>
      <c r="K49" s="93" t="n">
        <f aca="false">IF(Assumptions!K$99&lt;Client_Register!$P$37,0,IF(Assumptions!K$99&lt;=Client_Register!$Q$37,1,Client_Register!$N$37))</f>
        <v>1</v>
      </c>
      <c r="L49" s="93" t="n">
        <f aca="false">IF(Assumptions!L$99&lt;Client_Register!$P$37,0,IF(Assumptions!L$99&lt;=Client_Register!$Q$37,1,Client_Register!$N$37))</f>
        <v>1</v>
      </c>
      <c r="M49" s="93" t="n">
        <f aca="false">IF(Assumptions!M$99&lt;Client_Register!$P$37,0,IF(Assumptions!M$99&lt;=Client_Register!$Q$37,1,Client_Register!$N$37))</f>
        <v>1</v>
      </c>
      <c r="N49" s="93" t="n">
        <f aca="false">IF(Assumptions!N$99&lt;Client_Register!$P$37,0,IF(Assumptions!N$99&lt;=Client_Register!$Q$37,1,Client_Register!$N$37))</f>
        <v>1</v>
      </c>
      <c r="O49" s="93" t="n">
        <f aca="false">IF(Assumptions!O$99&lt;Client_Register!$P$37,0,IF(Assumptions!O$99&lt;=Client_Register!$Q$37,1,Client_Register!$N$37))</f>
        <v>1</v>
      </c>
      <c r="P49" s="93" t="n">
        <f aca="false">IF(Assumptions!P$99&lt;Client_Register!$P$37,0,IF(Assumptions!P$99&lt;=Client_Register!$Q$37,1,Client_Register!$N$37))</f>
        <v>1</v>
      </c>
      <c r="Q49" s="93" t="n">
        <f aca="false">IF(Assumptions!Q$99&lt;Client_Register!$P$37,0,IF(Assumptions!Q$99&lt;=Client_Register!$Q$37,1,Client_Register!$N$37))</f>
        <v>1</v>
      </c>
      <c r="R49" s="93" t="n">
        <f aca="false">IF(Assumptions!R$99&lt;Client_Register!$P$37,0,IF(Assumptions!R$99&lt;=Client_Register!$Q$37,1,Client_Register!$N$37))</f>
        <v>1</v>
      </c>
      <c r="S49" s="93" t="n">
        <f aca="false">IF(Assumptions!S$99&lt;Client_Register!$P$37,0,IF(Assumptions!S$99&lt;=Client_Register!$Q$37,1,Client_Register!$N$37))</f>
        <v>1</v>
      </c>
      <c r="T49" s="93" t="n">
        <f aca="false">IF(Assumptions!T$99&lt;Client_Register!$P$37,0,IF(Assumptions!T$99&lt;=Client_Register!$Q$37,1,Client_Register!$N$37))</f>
        <v>0.9</v>
      </c>
      <c r="U49" s="93" t="n">
        <f aca="false">IF(Assumptions!U$99&lt;Client_Register!$P$37,0,IF(Assumptions!U$99&lt;=Client_Register!$Q$37,1,Client_Register!$N$37))</f>
        <v>0.9</v>
      </c>
      <c r="V49" s="93" t="n">
        <f aca="false">IF(Assumptions!V$99&lt;Client_Register!$P$37,0,IF(Assumptions!V$99&lt;=Client_Register!$Q$37,1,Client_Register!$N$37))</f>
        <v>0.9</v>
      </c>
      <c r="W49" s="93" t="n">
        <f aca="false">IF(Assumptions!W$99&lt;Client_Register!$P$37,0,IF(Assumptions!W$99&lt;=Client_Register!$Q$37,1,Client_Register!$N$37))</f>
        <v>0.9</v>
      </c>
      <c r="X49" s="93" t="n">
        <f aca="false">IF(Assumptions!X$99&lt;Client_Register!$P$37,0,IF(Assumptions!X$99&lt;=Client_Register!$Q$37,1,Client_Register!$N$37))</f>
        <v>0.9</v>
      </c>
      <c r="Y49" s="93" t="n">
        <f aca="false">IF(Assumptions!Y$99&lt;Client_Register!$P$37,0,IF(Assumptions!Y$99&lt;=Client_Register!$Q$37,1,Client_Register!$N$37))</f>
        <v>0.9</v>
      </c>
      <c r="Z49" s="93" t="n">
        <f aca="false">IF(Assumptions!Z$99&lt;Client_Register!$P$37,0,IF(Assumptions!Z$99&lt;=Client_Register!$Q$37,1,Client_Register!$N$37))</f>
        <v>0.9</v>
      </c>
      <c r="AA49" s="93" t="n">
        <f aca="false">IF(Assumptions!AA$99&lt;Client_Register!$P$37,0,IF(Assumptions!AA$99&lt;=Client_Register!$Q$37,1,Client_Register!$N$37))</f>
        <v>0.9</v>
      </c>
      <c r="AB49" s="93" t="n">
        <f aca="false">IF(Assumptions!AB$99&lt;Client_Register!$P$37,0,IF(Assumptions!AB$99&lt;=Client_Register!$Q$37,1,Client_Register!$N$37))</f>
        <v>0.9</v>
      </c>
    </row>
    <row r="50" customFormat="false" ht="15" hidden="false" customHeight="false" outlineLevel="0" collapsed="false">
      <c r="A50" s="28" t="s">
        <v>871</v>
      </c>
      <c r="B50" s="58" t="s">
        <v>854</v>
      </c>
      <c r="C50" s="59" t="n">
        <f aca="false">SUM(E50:P50)</f>
        <v>234000</v>
      </c>
      <c r="D50" s="59" t="n">
        <f aca="false">SUM(Q50:AB50)</f>
        <v>297024</v>
      </c>
      <c r="E50" s="60" t="n">
        <f aca="false">IF(E$5="A",Inputs_Actuals!E26,Client_Register!$G$37*E49*IF(Assumptions!E$99&gt;Client_Register!$Q$37,1+Assumptions!$F$114,1))</f>
        <v>0</v>
      </c>
      <c r="F50" s="60" t="n">
        <f aca="false">IF(F$5="A",Inputs_Actuals!F26,Client_Register!$G$37*F49*IF(Assumptions!F$99&gt;Client_Register!$Q$37,1+Assumptions!$F$114,1))</f>
        <v>0</v>
      </c>
      <c r="G50" s="60" t="n">
        <f aca="false">IF(G$5="A",Inputs_Actuals!G26,Client_Register!$G$37*G49*IF(Assumptions!G$99&gt;Client_Register!$Q$37,1+Assumptions!$F$114,1))</f>
        <v>0</v>
      </c>
      <c r="H50" s="60" t="n">
        <f aca="false">IF(H$5="A",Inputs_Actuals!H26,Client_Register!$G$37*H49*IF(Assumptions!H$99&gt;Client_Register!$Q$37,1+Assumptions!$F$114,1))</f>
        <v>26000</v>
      </c>
      <c r="I50" s="60" t="n">
        <f aca="false">IF(I$5="A",Inputs_Actuals!I26,Client_Register!$G$37*I49*IF(Assumptions!I$99&gt;Client_Register!$Q$37,1+Assumptions!$F$114,1))</f>
        <v>26000</v>
      </c>
      <c r="J50" s="60" t="n">
        <f aca="false">IF(J$5="A",Inputs_Actuals!J26,Client_Register!$G$37*J49*IF(Assumptions!J$99&gt;Client_Register!$Q$37,1+Assumptions!$F$114,1))</f>
        <v>26000</v>
      </c>
      <c r="K50" s="60" t="n">
        <f aca="false">IF(K$5="A",Inputs_Actuals!K26,Client_Register!$G$37*K49*IF(Assumptions!K$99&gt;Client_Register!$Q$37,1+Assumptions!$F$114,1))</f>
        <v>26000</v>
      </c>
      <c r="L50" s="60" t="n">
        <f aca="false">IF(L$5="A",Inputs_Actuals!L26,Client_Register!$G$37*L49*IF(Assumptions!L$99&gt;Client_Register!$Q$37,1+Assumptions!$F$114,1))</f>
        <v>26000</v>
      </c>
      <c r="M50" s="60" t="n">
        <f aca="false">IF(M$5="A",Inputs_Actuals!M26,Client_Register!$G$37*M49*IF(Assumptions!M$99&gt;Client_Register!$Q$37,1+Assumptions!$F$114,1))</f>
        <v>26000</v>
      </c>
      <c r="N50" s="60" t="n">
        <f aca="false">IF(N$5="A",Inputs_Actuals!N26,Client_Register!$G$37*N49*IF(Assumptions!N$99&gt;Client_Register!$Q$37,1+Assumptions!$F$114,1))</f>
        <v>26000</v>
      </c>
      <c r="O50" s="60" t="n">
        <f aca="false">IF(O$5="A",Inputs_Actuals!O26,Client_Register!$G$37*O49*IF(Assumptions!O$99&gt;Client_Register!$Q$37,1+Assumptions!$F$114,1))</f>
        <v>26000</v>
      </c>
      <c r="P50" s="60" t="n">
        <f aca="false">IF(P$5="A",Inputs_Actuals!P26,Client_Register!$G$37*P49*IF(Assumptions!P$99&gt;Client_Register!$Q$37,1+Assumptions!$F$114,1))</f>
        <v>26000</v>
      </c>
      <c r="Q50" s="60" t="n">
        <f aca="false">IF(Q$5="A",Inputs_Actuals!Q26,Client_Register!$G$37*Q49*IF(Assumptions!Q$99&gt;Client_Register!$Q$37,1+Assumptions!$F$114,1))</f>
        <v>26000</v>
      </c>
      <c r="R50" s="60" t="n">
        <f aca="false">IF(R$5="A",Inputs_Actuals!R26,Client_Register!$G$37*R49*IF(Assumptions!R$99&gt;Client_Register!$Q$37,1+Assumptions!$F$114,1))</f>
        <v>26000</v>
      </c>
      <c r="S50" s="60" t="n">
        <f aca="false">IF(S$5="A",Inputs_Actuals!S26,Client_Register!$G$37*S49*IF(Assumptions!S$99&gt;Client_Register!$Q$37,1+Assumptions!$F$114,1))</f>
        <v>26000</v>
      </c>
      <c r="T50" s="60" t="n">
        <f aca="false">IF(T$5="A",Inputs_Actuals!T26,Client_Register!$G$37*T49*IF(Assumptions!T$99&gt;Client_Register!$Q$37,1+Assumptions!$F$114,1))</f>
        <v>24336</v>
      </c>
      <c r="U50" s="60" t="n">
        <f aca="false">IF(U$5="A",Inputs_Actuals!U26,Client_Register!$G$37*U49*IF(Assumptions!U$99&gt;Client_Register!$Q$37,1+Assumptions!$F$114,1))</f>
        <v>24336</v>
      </c>
      <c r="V50" s="60" t="n">
        <f aca="false">IF(V$5="A",Inputs_Actuals!V26,Client_Register!$G$37*V49*IF(Assumptions!V$99&gt;Client_Register!$Q$37,1+Assumptions!$F$114,1))</f>
        <v>24336</v>
      </c>
      <c r="W50" s="60" t="n">
        <f aca="false">IF(W$5="A",Inputs_Actuals!W26,Client_Register!$G$37*W49*IF(Assumptions!W$99&gt;Client_Register!$Q$37,1+Assumptions!$F$114,1))</f>
        <v>24336</v>
      </c>
      <c r="X50" s="60" t="n">
        <f aca="false">IF(X$5="A",Inputs_Actuals!X26,Client_Register!$G$37*X49*IF(Assumptions!X$99&gt;Client_Register!$Q$37,1+Assumptions!$F$114,1))</f>
        <v>24336</v>
      </c>
      <c r="Y50" s="60" t="n">
        <f aca="false">IF(Y$5="A",Inputs_Actuals!Y26,Client_Register!$G$37*Y49*IF(Assumptions!Y$99&gt;Client_Register!$Q$37,1+Assumptions!$F$114,1))</f>
        <v>24336</v>
      </c>
      <c r="Z50" s="60" t="n">
        <f aca="false">IF(Z$5="A",Inputs_Actuals!Z26,Client_Register!$G$37*Z49*IF(Assumptions!Z$99&gt;Client_Register!$Q$37,1+Assumptions!$F$114,1))</f>
        <v>24336</v>
      </c>
      <c r="AA50" s="60" t="n">
        <f aca="false">IF(AA$5="A",Inputs_Actuals!AA26,Client_Register!$G$37*AA49*IF(Assumptions!AA$99&gt;Client_Register!$Q$37,1+Assumptions!$F$114,1))</f>
        <v>24336</v>
      </c>
      <c r="AB50" s="60" t="n">
        <f aca="false">IF(AB$5="A",Inputs_Actuals!AB26,Client_Register!$G$37*AB49*IF(Assumptions!AB$99&gt;Client_Register!$Q$37,1+Assumptions!$F$114,1))</f>
        <v>24336</v>
      </c>
    </row>
    <row r="51" customFormat="false" ht="15" hidden="false" customHeight="false" outlineLevel="0" collapsed="false">
      <c r="A51" s="28" t="s">
        <v>855</v>
      </c>
      <c r="B51" s="58" t="s">
        <v>856</v>
      </c>
      <c r="C51" s="59" t="n">
        <f aca="false">SUM(E51:P51)</f>
        <v>202202.537659433</v>
      </c>
      <c r="D51" s="59" t="n">
        <f aca="false">SUM(Q51:AB51)</f>
        <v>256143.497757848</v>
      </c>
      <c r="E51" s="60" t="n">
        <f aca="false">E50/FX!E11</f>
        <v>0</v>
      </c>
      <c r="F51" s="60" t="n">
        <f aca="false">F50/FX!F11</f>
        <v>0</v>
      </c>
      <c r="G51" s="60" t="n">
        <f aca="false">G50/FX!G11</f>
        <v>0</v>
      </c>
      <c r="H51" s="60" t="n">
        <f aca="false">H50/FX!H11</f>
        <v>22413.7931034483</v>
      </c>
      <c r="I51" s="60" t="n">
        <f aca="false">I50/FX!I11</f>
        <v>22273.6228904309</v>
      </c>
      <c r="J51" s="60" t="n">
        <f aca="false">J50/FX!J11</f>
        <v>22571.4037676882</v>
      </c>
      <c r="K51" s="60" t="n">
        <f aca="false">K50/FX!K11</f>
        <v>22728.2660955461</v>
      </c>
      <c r="L51" s="60" t="n">
        <f aca="false">L50/FX!L11</f>
        <v>22529.3531476106</v>
      </c>
      <c r="M51" s="60" t="n">
        <f aca="false">M50/FX!M11</f>
        <v>22421.5246636771</v>
      </c>
      <c r="N51" s="60" t="n">
        <f aca="false">N50/FX!N11</f>
        <v>22421.5246636771</v>
      </c>
      <c r="O51" s="60" t="n">
        <f aca="false">O50/FX!O11</f>
        <v>22421.5246636771</v>
      </c>
      <c r="P51" s="60" t="n">
        <f aca="false">P50/FX!P11</f>
        <v>22421.5246636771</v>
      </c>
      <c r="Q51" s="60" t="n">
        <f aca="false">Q50/FX!Q11</f>
        <v>22421.5246636771</v>
      </c>
      <c r="R51" s="60" t="n">
        <f aca="false">R50/FX!R11</f>
        <v>22421.5246636771</v>
      </c>
      <c r="S51" s="60" t="n">
        <f aca="false">S50/FX!S11</f>
        <v>22421.5246636771</v>
      </c>
      <c r="T51" s="60" t="n">
        <f aca="false">T50/FX!T11</f>
        <v>20986.5470852018</v>
      </c>
      <c r="U51" s="60" t="n">
        <f aca="false">U50/FX!U11</f>
        <v>20986.5470852018</v>
      </c>
      <c r="V51" s="60" t="n">
        <f aca="false">V50/FX!V11</f>
        <v>20986.5470852018</v>
      </c>
      <c r="W51" s="60" t="n">
        <f aca="false">W50/FX!W11</f>
        <v>20986.5470852018</v>
      </c>
      <c r="X51" s="60" t="n">
        <f aca="false">X50/FX!X11</f>
        <v>20986.5470852018</v>
      </c>
      <c r="Y51" s="60" t="n">
        <f aca="false">Y50/FX!Y11</f>
        <v>20986.5470852018</v>
      </c>
      <c r="Z51" s="60" t="n">
        <f aca="false">Z50/FX!Z11</f>
        <v>20986.5470852018</v>
      </c>
      <c r="AA51" s="60" t="n">
        <f aca="false">AA50/FX!AA11</f>
        <v>20986.5470852018</v>
      </c>
      <c r="AB51" s="60" t="n">
        <f aca="false">AB50/FX!AB11</f>
        <v>20986.5470852018</v>
      </c>
    </row>
    <row r="52" customFormat="false" ht="15" hidden="false" customHeight="false" outlineLevel="0" collapsed="false">
      <c r="A52" s="28" t="s">
        <v>857</v>
      </c>
      <c r="B52" s="58" t="s">
        <v>858</v>
      </c>
      <c r="C52" s="66" t="n">
        <f aca="false">SUM(E52:P52)</f>
        <v>1935</v>
      </c>
      <c r="D52" s="66" t="n">
        <f aca="false">SUM(Q52:AB52)</f>
        <v>2386.5</v>
      </c>
      <c r="E52" s="67" t="n">
        <f aca="false">Client_Register!$H$37*E49</f>
        <v>0</v>
      </c>
      <c r="F52" s="67" t="n">
        <f aca="false">Client_Register!$H$37*F49</f>
        <v>0</v>
      </c>
      <c r="G52" s="67" t="n">
        <f aca="false">Client_Register!$H$37*G49</f>
        <v>0</v>
      </c>
      <c r="H52" s="67" t="n">
        <f aca="false">Client_Register!$H$37*H49</f>
        <v>215</v>
      </c>
      <c r="I52" s="67" t="n">
        <f aca="false">Client_Register!$H$37*I49</f>
        <v>215</v>
      </c>
      <c r="J52" s="67" t="n">
        <f aca="false">Client_Register!$H$37*J49</f>
        <v>215</v>
      </c>
      <c r="K52" s="67" t="n">
        <f aca="false">Client_Register!$H$37*K49</f>
        <v>215</v>
      </c>
      <c r="L52" s="67" t="n">
        <f aca="false">Client_Register!$H$37*L49</f>
        <v>215</v>
      </c>
      <c r="M52" s="67" t="n">
        <f aca="false">Client_Register!$H$37*M49</f>
        <v>215</v>
      </c>
      <c r="N52" s="67" t="n">
        <f aca="false">Client_Register!$H$37*N49</f>
        <v>215</v>
      </c>
      <c r="O52" s="67" t="n">
        <f aca="false">Client_Register!$H$37*O49</f>
        <v>215</v>
      </c>
      <c r="P52" s="67" t="n">
        <f aca="false">Client_Register!$H$37*P49</f>
        <v>215</v>
      </c>
      <c r="Q52" s="67" t="n">
        <f aca="false">Client_Register!$H$37*Q49</f>
        <v>215</v>
      </c>
      <c r="R52" s="67" t="n">
        <f aca="false">Client_Register!$H$37*R49</f>
        <v>215</v>
      </c>
      <c r="S52" s="67" t="n">
        <f aca="false">Client_Register!$H$37*S49</f>
        <v>215</v>
      </c>
      <c r="T52" s="67" t="n">
        <f aca="false">Client_Register!$H$37*T49</f>
        <v>193.5</v>
      </c>
      <c r="U52" s="67" t="n">
        <f aca="false">Client_Register!$H$37*U49</f>
        <v>193.5</v>
      </c>
      <c r="V52" s="67" t="n">
        <f aca="false">Client_Register!$H$37*V49</f>
        <v>193.5</v>
      </c>
      <c r="W52" s="67" t="n">
        <f aca="false">Client_Register!$H$37*W49</f>
        <v>193.5</v>
      </c>
      <c r="X52" s="67" t="n">
        <f aca="false">Client_Register!$H$37*X49</f>
        <v>193.5</v>
      </c>
      <c r="Y52" s="67" t="n">
        <f aca="false">Client_Register!$H$37*Y49</f>
        <v>193.5</v>
      </c>
      <c r="Z52" s="67" t="n">
        <f aca="false">Client_Register!$H$37*Z49</f>
        <v>193.5</v>
      </c>
      <c r="AA52" s="67" t="n">
        <f aca="false">Client_Register!$H$37*AA49</f>
        <v>193.5</v>
      </c>
      <c r="AB52" s="67" t="n">
        <f aca="false">Client_Register!$H$37*AB49</f>
        <v>193.5</v>
      </c>
    </row>
    <row r="53" customFormat="false" ht="15" hidden="false" customHeight="false" outlineLevel="0" collapsed="false">
      <c r="A53" s="28" t="s">
        <v>802</v>
      </c>
      <c r="B53" s="58" t="s">
        <v>859</v>
      </c>
      <c r="C53" s="66" t="n">
        <f aca="false">SUM(E53:P53)</f>
        <v>2171.652</v>
      </c>
      <c r="D53" s="66" t="n">
        <f aca="false">SUM(Q53:AB53)</f>
        <v>2622.2418</v>
      </c>
      <c r="E53" s="67" t="n">
        <f aca="false">IF(E$5="A",Inputs_Actuals!E27,E52*(1+Client_Register!$S$37))</f>
        <v>0</v>
      </c>
      <c r="F53" s="67" t="n">
        <f aca="false">IF(F$5="A",Inputs_Actuals!F27,F52*(1+Client_Register!$S$37))</f>
        <v>0</v>
      </c>
      <c r="G53" s="67" t="n">
        <f aca="false">IF(G$5="A",Inputs_Actuals!G27,G52*(1+Client_Register!$S$37))</f>
        <v>0</v>
      </c>
      <c r="H53" s="67" t="n">
        <f aca="false">IF(H$5="A",Inputs_Actuals!H27,H52*(1+Client_Register!$S$37))</f>
        <v>251.1</v>
      </c>
      <c r="I53" s="67" t="n">
        <f aca="false">IF(I$5="A",Inputs_Actuals!I27,I52*(1+Client_Register!$S$37))</f>
        <v>255.8</v>
      </c>
      <c r="J53" s="67" t="n">
        <f aca="false">IF(J$5="A",Inputs_Actuals!J27,J52*(1+Client_Register!$S$37))</f>
        <v>244.2</v>
      </c>
      <c r="K53" s="67" t="n">
        <f aca="false">IF(K$5="A",Inputs_Actuals!K27,K52*(1+Client_Register!$S$37))</f>
        <v>240.5</v>
      </c>
      <c r="L53" s="67" t="n">
        <f aca="false">IF(L$5="A",Inputs_Actuals!L27,L52*(1+Client_Register!$S$37))</f>
        <v>235.1</v>
      </c>
      <c r="M53" s="67" t="n">
        <f aca="false">IF(M$5="A",Inputs_Actuals!M27,M52*(1+Client_Register!$S$37))</f>
        <v>236.238</v>
      </c>
      <c r="N53" s="67" t="n">
        <f aca="false">IF(N$5="A",Inputs_Actuals!N27,N52*(1+Client_Register!$S$37))</f>
        <v>236.238</v>
      </c>
      <c r="O53" s="67" t="n">
        <f aca="false">IF(O$5="A",Inputs_Actuals!O27,O52*(1+Client_Register!$S$37))</f>
        <v>236.238</v>
      </c>
      <c r="P53" s="67" t="n">
        <f aca="false">IF(P$5="A",Inputs_Actuals!P27,P52*(1+Client_Register!$S$37))</f>
        <v>236.238</v>
      </c>
      <c r="Q53" s="67" t="n">
        <f aca="false">IF(Q$5="A",Inputs_Actuals!Q27,Q52*(1+Client_Register!$S$37))</f>
        <v>236.238</v>
      </c>
      <c r="R53" s="67" t="n">
        <f aca="false">IF(R$5="A",Inputs_Actuals!R27,R52*(1+Client_Register!$S$37))</f>
        <v>236.238</v>
      </c>
      <c r="S53" s="67" t="n">
        <f aca="false">IF(S$5="A",Inputs_Actuals!S27,S52*(1+Client_Register!$S$37))</f>
        <v>236.238</v>
      </c>
      <c r="T53" s="67" t="n">
        <f aca="false">IF(T$5="A",Inputs_Actuals!T27,T52*(1+Client_Register!$S$37))</f>
        <v>212.6142</v>
      </c>
      <c r="U53" s="67" t="n">
        <f aca="false">IF(U$5="A",Inputs_Actuals!U27,U52*(1+Client_Register!$S$37))</f>
        <v>212.6142</v>
      </c>
      <c r="V53" s="67" t="n">
        <f aca="false">IF(V$5="A",Inputs_Actuals!V27,V52*(1+Client_Register!$S$37))</f>
        <v>212.6142</v>
      </c>
      <c r="W53" s="67" t="n">
        <f aca="false">IF(W$5="A",Inputs_Actuals!W27,W52*(1+Client_Register!$S$37))</f>
        <v>212.6142</v>
      </c>
      <c r="X53" s="67" t="n">
        <f aca="false">IF(X$5="A",Inputs_Actuals!X27,X52*(1+Client_Register!$S$37))</f>
        <v>212.6142</v>
      </c>
      <c r="Y53" s="67" t="n">
        <f aca="false">IF(Y$5="A",Inputs_Actuals!Y27,Y52*(1+Client_Register!$S$37))</f>
        <v>212.6142</v>
      </c>
      <c r="Z53" s="67" t="n">
        <f aca="false">IF(Z$5="A",Inputs_Actuals!Z27,Z52*(1+Client_Register!$S$37))</f>
        <v>212.6142</v>
      </c>
      <c r="AA53" s="67" t="n">
        <f aca="false">IF(AA$5="A",Inputs_Actuals!AA27,AA52*(1+Client_Register!$S$37))</f>
        <v>212.6142</v>
      </c>
      <c r="AB53" s="67" t="n">
        <f aca="false">IF(AB$5="A",Inputs_Actuals!AB27,AB52*(1+Client_Register!$S$37))</f>
        <v>212.6142</v>
      </c>
    </row>
    <row r="54" customFormat="false" ht="15" hidden="false" customHeight="false" outlineLevel="0" collapsed="false">
      <c r="A54" s="28" t="s">
        <v>860</v>
      </c>
      <c r="B54" s="58" t="s">
        <v>861</v>
      </c>
      <c r="C54" s="66" t="n">
        <f aca="false">SUM(E54:P54)</f>
        <v>236.652</v>
      </c>
      <c r="D54" s="66" t="n">
        <f aca="false">SUM(Q54:AB54)</f>
        <v>235.7418</v>
      </c>
      <c r="E54" s="72" t="n">
        <f aca="false">E53-E52</f>
        <v>0</v>
      </c>
      <c r="F54" s="72" t="n">
        <f aca="false">F53-F52</f>
        <v>0</v>
      </c>
      <c r="G54" s="72" t="n">
        <f aca="false">G53-G52</f>
        <v>0</v>
      </c>
      <c r="H54" s="72" t="n">
        <f aca="false">H53-H52</f>
        <v>36.1</v>
      </c>
      <c r="I54" s="72" t="n">
        <f aca="false">I53-I52</f>
        <v>40.8</v>
      </c>
      <c r="J54" s="72" t="n">
        <f aca="false">J53-J52</f>
        <v>29.2</v>
      </c>
      <c r="K54" s="72" t="n">
        <f aca="false">K53-K52</f>
        <v>25.5</v>
      </c>
      <c r="L54" s="72" t="n">
        <f aca="false">L53-L52</f>
        <v>20.1</v>
      </c>
      <c r="M54" s="72" t="n">
        <f aca="false">M53-M52</f>
        <v>21.238</v>
      </c>
      <c r="N54" s="72" t="n">
        <f aca="false">N53-N52</f>
        <v>21.238</v>
      </c>
      <c r="O54" s="72" t="n">
        <f aca="false">O53-O52</f>
        <v>21.238</v>
      </c>
      <c r="P54" s="72" t="n">
        <f aca="false">P53-P52</f>
        <v>21.238</v>
      </c>
      <c r="Q54" s="72" t="n">
        <f aca="false">Q53-Q52</f>
        <v>21.238</v>
      </c>
      <c r="R54" s="72" t="n">
        <f aca="false">R53-R52</f>
        <v>21.238</v>
      </c>
      <c r="S54" s="72" t="n">
        <f aca="false">S53-S52</f>
        <v>21.238</v>
      </c>
      <c r="T54" s="72" t="n">
        <f aca="false">T53-T52</f>
        <v>19.1142</v>
      </c>
      <c r="U54" s="72" t="n">
        <f aca="false">U53-U52</f>
        <v>19.1142</v>
      </c>
      <c r="V54" s="72" t="n">
        <f aca="false">V53-V52</f>
        <v>19.1142</v>
      </c>
      <c r="W54" s="72" t="n">
        <f aca="false">W53-W52</f>
        <v>19.1142</v>
      </c>
      <c r="X54" s="72" t="n">
        <f aca="false">X53-X52</f>
        <v>19.1142</v>
      </c>
      <c r="Y54" s="72" t="n">
        <f aca="false">Y53-Y52</f>
        <v>19.1142</v>
      </c>
      <c r="Z54" s="72" t="n">
        <f aca="false">Z53-Z52</f>
        <v>19.1142</v>
      </c>
      <c r="AA54" s="72" t="n">
        <f aca="false">AA53-AA52</f>
        <v>19.1142</v>
      </c>
      <c r="AB54" s="72" t="n">
        <f aca="false">AB53-AB52</f>
        <v>19.1142</v>
      </c>
    </row>
    <row r="55" customFormat="false" ht="15" hidden="false" customHeight="false" outlineLevel="0" collapsed="false">
      <c r="A55" s="28" t="s">
        <v>862</v>
      </c>
      <c r="B55" s="58" t="s">
        <v>863</v>
      </c>
      <c r="C55" s="59" t="n">
        <f aca="false">SUM(E55:P55)</f>
        <v>12796.7894190104</v>
      </c>
      <c r="D55" s="59" t="n">
        <f aca="false">SUM(Q55:AB55)</f>
        <v>13321.2116930856</v>
      </c>
      <c r="E55" s="60" t="n">
        <f aca="false">E54*Utilisation!E90</f>
        <v>0</v>
      </c>
      <c r="F55" s="60" t="n">
        <f aca="false">F54*Utilisation!F90</f>
        <v>0</v>
      </c>
      <c r="G55" s="60" t="n">
        <f aca="false">G54*Utilisation!G90</f>
        <v>0</v>
      </c>
      <c r="H55" s="60" t="n">
        <f aca="false">H54*Utilisation!H90</f>
        <v>1952.08195166858</v>
      </c>
      <c r="I55" s="60" t="n">
        <f aca="false">I54*Utilisation!I90</f>
        <v>2206.23112543153</v>
      </c>
      <c r="J55" s="60" t="n">
        <f aca="false">J54*Utilisation!J90</f>
        <v>1578.96933486766</v>
      </c>
      <c r="K55" s="60" t="n">
        <f aca="false">K54*Utilisation!K90</f>
        <v>1378.89445339471</v>
      </c>
      <c r="L55" s="60" t="n">
        <f aca="false">L54*Utilisation!L90</f>
        <v>1086.89327502877</v>
      </c>
      <c r="M55" s="60" t="n">
        <f aca="false">M54*Utilisation!M90</f>
        <v>1148.42981965478</v>
      </c>
      <c r="N55" s="60" t="n">
        <f aca="false">N54*Utilisation!N90</f>
        <v>1148.42981965478</v>
      </c>
      <c r="O55" s="60" t="n">
        <f aca="false">O54*Utilisation!O90</f>
        <v>1148.42981965478</v>
      </c>
      <c r="P55" s="60" t="n">
        <f aca="false">P54*Utilisation!P90</f>
        <v>1148.42981965478</v>
      </c>
      <c r="Q55" s="60" t="n">
        <f aca="false">Q54*Utilisation!Q90</f>
        <v>1200.10916153924</v>
      </c>
      <c r="R55" s="60" t="n">
        <f aca="false">R54*Utilisation!R90</f>
        <v>1200.10916153924</v>
      </c>
      <c r="S55" s="60" t="n">
        <f aca="false">S54*Utilisation!S90</f>
        <v>1200.10916153924</v>
      </c>
      <c r="T55" s="60" t="n">
        <f aca="false">T54*Utilisation!T90</f>
        <v>1080.09824538532</v>
      </c>
      <c r="U55" s="60" t="n">
        <f aca="false">U54*Utilisation!U90</f>
        <v>1080.09824538532</v>
      </c>
      <c r="V55" s="60" t="n">
        <f aca="false">V54*Utilisation!V90</f>
        <v>1080.09824538532</v>
      </c>
      <c r="W55" s="60" t="n">
        <f aca="false">W54*Utilisation!W90</f>
        <v>1080.09824538532</v>
      </c>
      <c r="X55" s="60" t="n">
        <f aca="false">X54*Utilisation!X90</f>
        <v>1080.09824538532</v>
      </c>
      <c r="Y55" s="60" t="n">
        <f aca="false">Y54*Utilisation!Y90</f>
        <v>1080.09824538532</v>
      </c>
      <c r="Z55" s="60" t="n">
        <f aca="false">Z54*Utilisation!Z90</f>
        <v>1080.09824538532</v>
      </c>
      <c r="AA55" s="60" t="n">
        <f aca="false">AA54*Utilisation!AA90</f>
        <v>1080.09824538532</v>
      </c>
      <c r="AB55" s="60" t="n">
        <f aca="false">AB54*Utilisation!AB90</f>
        <v>1080.09824538532</v>
      </c>
    </row>
    <row r="56" customFormat="false" ht="15" hidden="false" customHeight="false" outlineLevel="0" collapsed="false">
      <c r="A56" s="28" t="s">
        <v>864</v>
      </c>
      <c r="B56" s="58" t="s">
        <v>865</v>
      </c>
      <c r="C56" s="59" t="n">
        <f aca="false">SUM(E56:P56)</f>
        <v>234000</v>
      </c>
      <c r="D56" s="59" t="n">
        <f aca="false">SUM(Q56:AB56)</f>
        <v>297024</v>
      </c>
      <c r="E56" s="60" t="n">
        <f aca="false">IF(E$5="A",Inputs_Actuals!E28,E50)</f>
        <v>0</v>
      </c>
      <c r="F56" s="60" t="n">
        <f aca="false">IF(F$5="A",Inputs_Actuals!F28,F50)</f>
        <v>0</v>
      </c>
      <c r="G56" s="60" t="n">
        <f aca="false">IF(G$5="A",Inputs_Actuals!G28,G50)</f>
        <v>0</v>
      </c>
      <c r="H56" s="60" t="n">
        <f aca="false">IF(H$5="A",Inputs_Actuals!H28,H50)</f>
        <v>26000</v>
      </c>
      <c r="I56" s="60" t="n">
        <f aca="false">IF(I$5="A",Inputs_Actuals!I28,I50)</f>
        <v>26000</v>
      </c>
      <c r="J56" s="60" t="n">
        <f aca="false">IF(J$5="A",Inputs_Actuals!J28,J50)</f>
        <v>26000</v>
      </c>
      <c r="K56" s="60" t="n">
        <f aca="false">IF(K$5="A",Inputs_Actuals!K28,K50)</f>
        <v>26000</v>
      </c>
      <c r="L56" s="60" t="n">
        <f aca="false">IF(L$5="A",Inputs_Actuals!L28,L50)</f>
        <v>26000</v>
      </c>
      <c r="M56" s="60" t="n">
        <f aca="false">IF(M$5="A",Inputs_Actuals!M28,M50)</f>
        <v>26000</v>
      </c>
      <c r="N56" s="60" t="n">
        <f aca="false">IF(N$5="A",Inputs_Actuals!N28,N50)</f>
        <v>26000</v>
      </c>
      <c r="O56" s="60" t="n">
        <f aca="false">IF(O$5="A",Inputs_Actuals!O28,O50)</f>
        <v>26000</v>
      </c>
      <c r="P56" s="60" t="n">
        <f aca="false">IF(P$5="A",Inputs_Actuals!P28,P50)</f>
        <v>26000</v>
      </c>
      <c r="Q56" s="60" t="n">
        <f aca="false">IF(Q$5="A",Inputs_Actuals!Q28,Q50)</f>
        <v>26000</v>
      </c>
      <c r="R56" s="60" t="n">
        <f aca="false">IF(R$5="A",Inputs_Actuals!R28,R50)</f>
        <v>26000</v>
      </c>
      <c r="S56" s="60" t="n">
        <f aca="false">IF(S$5="A",Inputs_Actuals!S28,S50)</f>
        <v>26000</v>
      </c>
      <c r="T56" s="60" t="n">
        <f aca="false">IF(T$5="A",Inputs_Actuals!T28,T50)</f>
        <v>24336</v>
      </c>
      <c r="U56" s="60" t="n">
        <f aca="false">IF(U$5="A",Inputs_Actuals!U28,U50)</f>
        <v>24336</v>
      </c>
      <c r="V56" s="60" t="n">
        <f aca="false">IF(V$5="A",Inputs_Actuals!V28,V50)</f>
        <v>24336</v>
      </c>
      <c r="W56" s="60" t="n">
        <f aca="false">IF(W$5="A",Inputs_Actuals!W28,W50)</f>
        <v>24336</v>
      </c>
      <c r="X56" s="60" t="n">
        <f aca="false">IF(X$5="A",Inputs_Actuals!X28,X50)</f>
        <v>24336</v>
      </c>
      <c r="Y56" s="60" t="n">
        <f aca="false">IF(Y$5="A",Inputs_Actuals!Y28,Y50)</f>
        <v>24336</v>
      </c>
      <c r="Z56" s="60" t="n">
        <f aca="false">IF(Z$5="A",Inputs_Actuals!Z28,Z50)</f>
        <v>24336</v>
      </c>
      <c r="AA56" s="60" t="n">
        <f aca="false">IF(AA$5="A",Inputs_Actuals!AA28,AA50)</f>
        <v>24336</v>
      </c>
      <c r="AB56" s="60" t="n">
        <f aca="false">IF(AB$5="A",Inputs_Actuals!AB28,AB50)</f>
        <v>24336</v>
      </c>
    </row>
    <row r="58" customFormat="false" ht="15" hidden="false" customHeight="false" outlineLevel="0" collapsed="false">
      <c r="A58" s="22" t="s">
        <v>872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row>
    <row r="59" customFormat="false" ht="15" hidden="false" customHeight="false" outlineLevel="0" collapsed="false">
      <c r="A59" s="28" t="s">
        <v>852</v>
      </c>
      <c r="B59" s="58" t="s">
        <v>79</v>
      </c>
      <c r="C59" s="110" t="n">
        <f aca="false">AVERAGE(E59:P59)</f>
        <v>1</v>
      </c>
      <c r="D59" s="110" t="n">
        <f aca="false">AVERAGE(Q59:AB59)</f>
        <v>0.95</v>
      </c>
      <c r="E59" s="93" t="n">
        <f aca="false">IF(Assumptions!E$99&lt;Client_Register!$P$38,0,IF(Assumptions!E$99&lt;=Client_Register!$Q$38,1,Client_Register!$N$38))</f>
        <v>1</v>
      </c>
      <c r="F59" s="93" t="n">
        <f aca="false">IF(Assumptions!F$99&lt;Client_Register!$P$38,0,IF(Assumptions!F$99&lt;=Client_Register!$Q$38,1,Client_Register!$N$38))</f>
        <v>1</v>
      </c>
      <c r="G59" s="93" t="n">
        <f aca="false">IF(Assumptions!G$99&lt;Client_Register!$P$38,0,IF(Assumptions!G$99&lt;=Client_Register!$Q$38,1,Client_Register!$N$38))</f>
        <v>1</v>
      </c>
      <c r="H59" s="93" t="n">
        <f aca="false">IF(Assumptions!H$99&lt;Client_Register!$P$38,0,IF(Assumptions!H$99&lt;=Client_Register!$Q$38,1,Client_Register!$N$38))</f>
        <v>1</v>
      </c>
      <c r="I59" s="93" t="n">
        <f aca="false">IF(Assumptions!I$99&lt;Client_Register!$P$38,0,IF(Assumptions!I$99&lt;=Client_Register!$Q$38,1,Client_Register!$N$38))</f>
        <v>1</v>
      </c>
      <c r="J59" s="93" t="n">
        <f aca="false">IF(Assumptions!J$99&lt;Client_Register!$P$38,0,IF(Assumptions!J$99&lt;=Client_Register!$Q$38,1,Client_Register!$N$38))</f>
        <v>1</v>
      </c>
      <c r="K59" s="93" t="n">
        <f aca="false">IF(Assumptions!K$99&lt;Client_Register!$P$38,0,IF(Assumptions!K$99&lt;=Client_Register!$Q$38,1,Client_Register!$N$38))</f>
        <v>1</v>
      </c>
      <c r="L59" s="93" t="n">
        <f aca="false">IF(Assumptions!L$99&lt;Client_Register!$P$38,0,IF(Assumptions!L$99&lt;=Client_Register!$Q$38,1,Client_Register!$N$38))</f>
        <v>1</v>
      </c>
      <c r="M59" s="93" t="n">
        <f aca="false">IF(Assumptions!M$99&lt;Client_Register!$P$38,0,IF(Assumptions!M$99&lt;=Client_Register!$Q$38,1,Client_Register!$N$38))</f>
        <v>1</v>
      </c>
      <c r="N59" s="93" t="n">
        <f aca="false">IF(Assumptions!N$99&lt;Client_Register!$P$38,0,IF(Assumptions!N$99&lt;=Client_Register!$Q$38,1,Client_Register!$N$38))</f>
        <v>1</v>
      </c>
      <c r="O59" s="93" t="n">
        <f aca="false">IF(Assumptions!O$99&lt;Client_Register!$P$38,0,IF(Assumptions!O$99&lt;=Client_Register!$Q$38,1,Client_Register!$N$38))</f>
        <v>1</v>
      </c>
      <c r="P59" s="93" t="n">
        <f aca="false">IF(Assumptions!P$99&lt;Client_Register!$P$38,0,IF(Assumptions!P$99&lt;=Client_Register!$Q$38,1,Client_Register!$N$38))</f>
        <v>1</v>
      </c>
      <c r="Q59" s="93" t="n">
        <f aca="false">IF(Assumptions!Q$99&lt;Client_Register!$P$38,0,IF(Assumptions!Q$99&lt;=Client_Register!$Q$38,1,Client_Register!$N$38))</f>
        <v>1</v>
      </c>
      <c r="R59" s="93" t="n">
        <f aca="false">IF(Assumptions!R$99&lt;Client_Register!$P$38,0,IF(Assumptions!R$99&lt;=Client_Register!$Q$38,1,Client_Register!$N$38))</f>
        <v>1</v>
      </c>
      <c r="S59" s="93" t="n">
        <f aca="false">IF(Assumptions!S$99&lt;Client_Register!$P$38,0,IF(Assumptions!S$99&lt;=Client_Register!$Q$38,1,Client_Register!$N$38))</f>
        <v>1</v>
      </c>
      <c r="T59" s="93" t="n">
        <f aca="false">IF(Assumptions!T$99&lt;Client_Register!$P$38,0,IF(Assumptions!T$99&lt;=Client_Register!$Q$38,1,Client_Register!$N$38))</f>
        <v>1</v>
      </c>
      <c r="U59" s="93" t="n">
        <f aca="false">IF(Assumptions!U$99&lt;Client_Register!$P$38,0,IF(Assumptions!U$99&lt;=Client_Register!$Q$38,1,Client_Register!$N$38))</f>
        <v>1</v>
      </c>
      <c r="V59" s="93" t="n">
        <f aca="false">IF(Assumptions!V$99&lt;Client_Register!$P$38,0,IF(Assumptions!V$99&lt;=Client_Register!$Q$38,1,Client_Register!$N$38))</f>
        <v>1</v>
      </c>
      <c r="W59" s="93" t="n">
        <f aca="false">IF(Assumptions!W$99&lt;Client_Register!$P$38,0,IF(Assumptions!W$99&lt;=Client_Register!$Q$38,1,Client_Register!$N$38))</f>
        <v>0.9</v>
      </c>
      <c r="X59" s="93" t="n">
        <f aca="false">IF(Assumptions!X$99&lt;Client_Register!$P$38,0,IF(Assumptions!X$99&lt;=Client_Register!$Q$38,1,Client_Register!$N$38))</f>
        <v>0.9</v>
      </c>
      <c r="Y59" s="93" t="n">
        <f aca="false">IF(Assumptions!Y$99&lt;Client_Register!$P$38,0,IF(Assumptions!Y$99&lt;=Client_Register!$Q$38,1,Client_Register!$N$38))</f>
        <v>0.9</v>
      </c>
      <c r="Z59" s="93" t="n">
        <f aca="false">IF(Assumptions!Z$99&lt;Client_Register!$P$38,0,IF(Assumptions!Z$99&lt;=Client_Register!$Q$38,1,Client_Register!$N$38))</f>
        <v>0.9</v>
      </c>
      <c r="AA59" s="93" t="n">
        <f aca="false">IF(Assumptions!AA$99&lt;Client_Register!$P$38,0,IF(Assumptions!AA$99&lt;=Client_Register!$Q$38,1,Client_Register!$N$38))</f>
        <v>0.9</v>
      </c>
      <c r="AB59" s="93" t="n">
        <f aca="false">IF(Assumptions!AB$99&lt;Client_Register!$P$38,0,IF(Assumptions!AB$99&lt;=Client_Register!$Q$38,1,Client_Register!$N$38))</f>
        <v>0.9</v>
      </c>
    </row>
    <row r="60" customFormat="false" ht="15" hidden="false" customHeight="false" outlineLevel="0" collapsed="false">
      <c r="A60" s="28" t="s">
        <v>871</v>
      </c>
      <c r="B60" s="58" t="s">
        <v>854</v>
      </c>
      <c r="C60" s="59" t="n">
        <f aca="false">SUM(E60:P60)</f>
        <v>132000</v>
      </c>
      <c r="D60" s="59" t="n">
        <f aca="false">SUM(Q60:AB60)</f>
        <v>127776</v>
      </c>
      <c r="E60" s="60" t="n">
        <f aca="false">IF(E$5="A",Inputs_Actuals!E29,Client_Register!$G$38*E59*IF(Assumptions!E$99&gt;Client_Register!$Q$38,1+Assumptions!$F$114,1))</f>
        <v>11000</v>
      </c>
      <c r="F60" s="60" t="n">
        <f aca="false">IF(F$5="A",Inputs_Actuals!F29,Client_Register!$G$38*F59*IF(Assumptions!F$99&gt;Client_Register!$Q$38,1+Assumptions!$F$114,1))</f>
        <v>11000</v>
      </c>
      <c r="G60" s="60" t="n">
        <f aca="false">IF(G$5="A",Inputs_Actuals!G29,Client_Register!$G$38*G59*IF(Assumptions!G$99&gt;Client_Register!$Q$38,1+Assumptions!$F$114,1))</f>
        <v>11000</v>
      </c>
      <c r="H60" s="60" t="n">
        <f aca="false">IF(H$5="A",Inputs_Actuals!H29,Client_Register!$G$38*H59*IF(Assumptions!H$99&gt;Client_Register!$Q$38,1+Assumptions!$F$114,1))</f>
        <v>11000</v>
      </c>
      <c r="I60" s="60" t="n">
        <f aca="false">IF(I$5="A",Inputs_Actuals!I29,Client_Register!$G$38*I59*IF(Assumptions!I$99&gt;Client_Register!$Q$38,1+Assumptions!$F$114,1))</f>
        <v>11000</v>
      </c>
      <c r="J60" s="60" t="n">
        <f aca="false">IF(J$5="A",Inputs_Actuals!J29,Client_Register!$G$38*J59*IF(Assumptions!J$99&gt;Client_Register!$Q$38,1+Assumptions!$F$114,1))</f>
        <v>11000</v>
      </c>
      <c r="K60" s="60" t="n">
        <f aca="false">IF(K$5="A",Inputs_Actuals!K29,Client_Register!$G$38*K59*IF(Assumptions!K$99&gt;Client_Register!$Q$38,1+Assumptions!$F$114,1))</f>
        <v>11000</v>
      </c>
      <c r="L60" s="60" t="n">
        <f aca="false">IF(L$5="A",Inputs_Actuals!L29,Client_Register!$G$38*L59*IF(Assumptions!L$99&gt;Client_Register!$Q$38,1+Assumptions!$F$114,1))</f>
        <v>11000</v>
      </c>
      <c r="M60" s="60" t="n">
        <f aca="false">IF(M$5="A",Inputs_Actuals!M29,Client_Register!$G$38*M59*IF(Assumptions!M$99&gt;Client_Register!$Q$38,1+Assumptions!$F$114,1))</f>
        <v>11000</v>
      </c>
      <c r="N60" s="60" t="n">
        <f aca="false">IF(N$5="A",Inputs_Actuals!N29,Client_Register!$G$38*N59*IF(Assumptions!N$99&gt;Client_Register!$Q$38,1+Assumptions!$F$114,1))</f>
        <v>11000</v>
      </c>
      <c r="O60" s="60" t="n">
        <f aca="false">IF(O$5="A",Inputs_Actuals!O29,Client_Register!$G$38*O59*IF(Assumptions!O$99&gt;Client_Register!$Q$38,1+Assumptions!$F$114,1))</f>
        <v>11000</v>
      </c>
      <c r="P60" s="60" t="n">
        <f aca="false">IF(P$5="A",Inputs_Actuals!P29,Client_Register!$G$38*P59*IF(Assumptions!P$99&gt;Client_Register!$Q$38,1+Assumptions!$F$114,1))</f>
        <v>11000</v>
      </c>
      <c r="Q60" s="60" t="n">
        <f aca="false">IF(Q$5="A",Inputs_Actuals!Q29,Client_Register!$G$38*Q59*IF(Assumptions!Q$99&gt;Client_Register!$Q$38,1+Assumptions!$F$114,1))</f>
        <v>11000</v>
      </c>
      <c r="R60" s="60" t="n">
        <f aca="false">IF(R$5="A",Inputs_Actuals!R29,Client_Register!$G$38*R59*IF(Assumptions!R$99&gt;Client_Register!$Q$38,1+Assumptions!$F$114,1))</f>
        <v>11000</v>
      </c>
      <c r="S60" s="60" t="n">
        <f aca="false">IF(S$5="A",Inputs_Actuals!S29,Client_Register!$G$38*S59*IF(Assumptions!S$99&gt;Client_Register!$Q$38,1+Assumptions!$F$114,1))</f>
        <v>11000</v>
      </c>
      <c r="T60" s="60" t="n">
        <f aca="false">IF(T$5="A",Inputs_Actuals!T29,Client_Register!$G$38*T59*IF(Assumptions!T$99&gt;Client_Register!$Q$38,1+Assumptions!$F$114,1))</f>
        <v>11000</v>
      </c>
      <c r="U60" s="60" t="n">
        <f aca="false">IF(U$5="A",Inputs_Actuals!U29,Client_Register!$G$38*U59*IF(Assumptions!U$99&gt;Client_Register!$Q$38,1+Assumptions!$F$114,1))</f>
        <v>11000</v>
      </c>
      <c r="V60" s="60" t="n">
        <f aca="false">IF(V$5="A",Inputs_Actuals!V29,Client_Register!$G$38*V59*IF(Assumptions!V$99&gt;Client_Register!$Q$38,1+Assumptions!$F$114,1))</f>
        <v>11000</v>
      </c>
      <c r="W60" s="60" t="n">
        <f aca="false">IF(W$5="A",Inputs_Actuals!W29,Client_Register!$G$38*W59*IF(Assumptions!W$99&gt;Client_Register!$Q$38,1+Assumptions!$F$114,1))</f>
        <v>10296</v>
      </c>
      <c r="X60" s="60" t="n">
        <f aca="false">IF(X$5="A",Inputs_Actuals!X29,Client_Register!$G$38*X59*IF(Assumptions!X$99&gt;Client_Register!$Q$38,1+Assumptions!$F$114,1))</f>
        <v>10296</v>
      </c>
      <c r="Y60" s="60" t="n">
        <f aca="false">IF(Y$5="A",Inputs_Actuals!Y29,Client_Register!$G$38*Y59*IF(Assumptions!Y$99&gt;Client_Register!$Q$38,1+Assumptions!$F$114,1))</f>
        <v>10296</v>
      </c>
      <c r="Z60" s="60" t="n">
        <f aca="false">IF(Z$5="A",Inputs_Actuals!Z29,Client_Register!$G$38*Z59*IF(Assumptions!Z$99&gt;Client_Register!$Q$38,1+Assumptions!$F$114,1))</f>
        <v>10296</v>
      </c>
      <c r="AA60" s="60" t="n">
        <f aca="false">IF(AA$5="A",Inputs_Actuals!AA29,Client_Register!$G$38*AA59*IF(Assumptions!AA$99&gt;Client_Register!$Q$38,1+Assumptions!$F$114,1))</f>
        <v>10296</v>
      </c>
      <c r="AB60" s="60" t="n">
        <f aca="false">IF(AB$5="A",Inputs_Actuals!AB29,Client_Register!$G$38*AB59*IF(Assumptions!AB$99&gt;Client_Register!$Q$38,1+Assumptions!$F$114,1))</f>
        <v>10296</v>
      </c>
    </row>
    <row r="61" customFormat="false" ht="15" hidden="false" customHeight="false" outlineLevel="0" collapsed="false">
      <c r="A61" s="28" t="s">
        <v>855</v>
      </c>
      <c r="B61" s="58" t="s">
        <v>856</v>
      </c>
      <c r="C61" s="59" t="n">
        <f aca="false">SUM(E61:P61)</f>
        <v>113556.239979711</v>
      </c>
      <c r="D61" s="59" t="n">
        <f aca="false">SUM(Q61:AB61)</f>
        <v>110189.720593308</v>
      </c>
      <c r="E61" s="60" t="n">
        <f aca="false">E60/FX!E11</f>
        <v>9294.85825341164</v>
      </c>
      <c r="F61" s="60" t="n">
        <f aca="false">F60/FX!F11</f>
        <v>9273.30972854494</v>
      </c>
      <c r="G61" s="60" t="n">
        <f aca="false">G60/FX!G11</f>
        <v>9440.84452645582</v>
      </c>
      <c r="H61" s="60" t="n">
        <f aca="false">H60/FX!H11</f>
        <v>9482.75862068966</v>
      </c>
      <c r="I61" s="60" t="n">
        <f aca="false">I60/FX!I11</f>
        <v>9423.45583825923</v>
      </c>
      <c r="J61" s="60" t="n">
        <f aca="false">J60/FX!J11</f>
        <v>9549.44005556038</v>
      </c>
      <c r="K61" s="60" t="n">
        <f aca="false">K60/FX!K11</f>
        <v>9615.80488657721</v>
      </c>
      <c r="L61" s="60" t="n">
        <f aca="false">L60/FX!L11</f>
        <v>9531.64940860448</v>
      </c>
      <c r="M61" s="60" t="n">
        <f aca="false">M60/FX!M11</f>
        <v>9486.02966540186</v>
      </c>
      <c r="N61" s="60" t="n">
        <f aca="false">N60/FX!N11</f>
        <v>9486.02966540186</v>
      </c>
      <c r="O61" s="60" t="n">
        <f aca="false">O60/FX!O11</f>
        <v>9486.02966540186</v>
      </c>
      <c r="P61" s="60" t="n">
        <f aca="false">P60/FX!P11</f>
        <v>9486.02966540186</v>
      </c>
      <c r="Q61" s="60" t="n">
        <f aca="false">Q60/FX!Q11</f>
        <v>9486.02966540186</v>
      </c>
      <c r="R61" s="60" t="n">
        <f aca="false">R60/FX!R11</f>
        <v>9486.02966540186</v>
      </c>
      <c r="S61" s="60" t="n">
        <f aca="false">S60/FX!S11</f>
        <v>9486.02966540186</v>
      </c>
      <c r="T61" s="60" t="n">
        <f aca="false">T60/FX!T11</f>
        <v>9486.02966540186</v>
      </c>
      <c r="U61" s="60" t="n">
        <f aca="false">U60/FX!U11</f>
        <v>9486.02966540186</v>
      </c>
      <c r="V61" s="60" t="n">
        <f aca="false">V60/FX!V11</f>
        <v>9486.02966540186</v>
      </c>
      <c r="W61" s="60" t="n">
        <f aca="false">W60/FX!W11</f>
        <v>8878.92376681614</v>
      </c>
      <c r="X61" s="60" t="n">
        <f aca="false">X60/FX!X11</f>
        <v>8878.92376681614</v>
      </c>
      <c r="Y61" s="60" t="n">
        <f aca="false">Y60/FX!Y11</f>
        <v>8878.92376681614</v>
      </c>
      <c r="Z61" s="60" t="n">
        <f aca="false">Z60/FX!Z11</f>
        <v>8878.92376681614</v>
      </c>
      <c r="AA61" s="60" t="n">
        <f aca="false">AA60/FX!AA11</f>
        <v>8878.92376681614</v>
      </c>
      <c r="AB61" s="60" t="n">
        <f aca="false">AB60/FX!AB11</f>
        <v>8878.92376681614</v>
      </c>
    </row>
    <row r="62" customFormat="false" ht="15" hidden="false" customHeight="false" outlineLevel="0" collapsed="false">
      <c r="A62" s="28" t="s">
        <v>857</v>
      </c>
      <c r="B62" s="58" t="s">
        <v>858</v>
      </c>
      <c r="C62" s="66" t="n">
        <f aca="false">SUM(E62:P62)</f>
        <v>1140</v>
      </c>
      <c r="D62" s="66" t="n">
        <f aca="false">SUM(Q62:AB62)</f>
        <v>1083</v>
      </c>
      <c r="E62" s="67" t="n">
        <f aca="false">Client_Register!$H$38*E59</f>
        <v>95</v>
      </c>
      <c r="F62" s="67" t="n">
        <f aca="false">Client_Register!$H$38*F59</f>
        <v>95</v>
      </c>
      <c r="G62" s="67" t="n">
        <f aca="false">Client_Register!$H$38*G59</f>
        <v>95</v>
      </c>
      <c r="H62" s="67" t="n">
        <f aca="false">Client_Register!$H$38*H59</f>
        <v>95</v>
      </c>
      <c r="I62" s="67" t="n">
        <f aca="false">Client_Register!$H$38*I59</f>
        <v>95</v>
      </c>
      <c r="J62" s="67" t="n">
        <f aca="false">Client_Register!$H$38*J59</f>
        <v>95</v>
      </c>
      <c r="K62" s="67" t="n">
        <f aca="false">Client_Register!$H$38*K59</f>
        <v>95</v>
      </c>
      <c r="L62" s="67" t="n">
        <f aca="false">Client_Register!$H$38*L59</f>
        <v>95</v>
      </c>
      <c r="M62" s="67" t="n">
        <f aca="false">Client_Register!$H$38*M59</f>
        <v>95</v>
      </c>
      <c r="N62" s="67" t="n">
        <f aca="false">Client_Register!$H$38*N59</f>
        <v>95</v>
      </c>
      <c r="O62" s="67" t="n">
        <f aca="false">Client_Register!$H$38*O59</f>
        <v>95</v>
      </c>
      <c r="P62" s="67" t="n">
        <f aca="false">Client_Register!$H$38*P59</f>
        <v>95</v>
      </c>
      <c r="Q62" s="67" t="n">
        <f aca="false">Client_Register!$H$38*Q59</f>
        <v>95</v>
      </c>
      <c r="R62" s="67" t="n">
        <f aca="false">Client_Register!$H$38*R59</f>
        <v>95</v>
      </c>
      <c r="S62" s="67" t="n">
        <f aca="false">Client_Register!$H$38*S59</f>
        <v>95</v>
      </c>
      <c r="T62" s="67" t="n">
        <f aca="false">Client_Register!$H$38*T59</f>
        <v>95</v>
      </c>
      <c r="U62" s="67" t="n">
        <f aca="false">Client_Register!$H$38*U59</f>
        <v>95</v>
      </c>
      <c r="V62" s="67" t="n">
        <f aca="false">Client_Register!$H$38*V59</f>
        <v>95</v>
      </c>
      <c r="W62" s="67" t="n">
        <f aca="false">Client_Register!$H$38*W59</f>
        <v>85.5</v>
      </c>
      <c r="X62" s="67" t="n">
        <f aca="false">Client_Register!$H$38*X59</f>
        <v>85.5</v>
      </c>
      <c r="Y62" s="67" t="n">
        <f aca="false">Client_Register!$H$38*Y59</f>
        <v>85.5</v>
      </c>
      <c r="Z62" s="67" t="n">
        <f aca="false">Client_Register!$H$38*Z59</f>
        <v>85.5</v>
      </c>
      <c r="AA62" s="67" t="n">
        <f aca="false">Client_Register!$H$38*AA59</f>
        <v>85.5</v>
      </c>
      <c r="AB62" s="67" t="n">
        <f aca="false">Client_Register!$H$38*AB59</f>
        <v>85.5</v>
      </c>
    </row>
    <row r="63" customFormat="false" ht="15" hidden="false" customHeight="false" outlineLevel="0" collapsed="false">
      <c r="A63" s="28" t="s">
        <v>802</v>
      </c>
      <c r="B63" s="58" t="s">
        <v>859</v>
      </c>
      <c r="C63" s="66" t="n">
        <f aca="false">SUM(E63:P63)</f>
        <v>1215.465</v>
      </c>
      <c r="D63" s="66" t="n">
        <f aca="false">SUM(Q63:AB63)</f>
        <v>1138.76025</v>
      </c>
      <c r="E63" s="67" t="n">
        <f aca="false">IF(E$5="A",Inputs_Actuals!E30,E62*(1+Client_Register!$S$38))</f>
        <v>95.2</v>
      </c>
      <c r="F63" s="67" t="n">
        <f aca="false">IF(F$5="A",Inputs_Actuals!F30,F62*(1+Client_Register!$S$38))</f>
        <v>98.3</v>
      </c>
      <c r="G63" s="67" t="n">
        <f aca="false">IF(G$5="A",Inputs_Actuals!G30,G62*(1+Client_Register!$S$38))</f>
        <v>102.8</v>
      </c>
      <c r="H63" s="67" t="n">
        <f aca="false">IF(H$5="A",Inputs_Actuals!H30,H62*(1+Client_Register!$S$38))</f>
        <v>107.6</v>
      </c>
      <c r="I63" s="67" t="n">
        <f aca="false">IF(I$5="A",Inputs_Actuals!I30,I62*(1+Client_Register!$S$38))</f>
        <v>110.5</v>
      </c>
      <c r="J63" s="67" t="n">
        <f aca="false">IF(J$5="A",Inputs_Actuals!J30,J62*(1+Client_Register!$S$38))</f>
        <v>94.7</v>
      </c>
      <c r="K63" s="67" t="n">
        <f aca="false">IF(K$5="A",Inputs_Actuals!K30,K62*(1+Client_Register!$S$38))</f>
        <v>104.2</v>
      </c>
      <c r="L63" s="67" t="n">
        <f aca="false">IF(L$5="A",Inputs_Actuals!L30,L62*(1+Client_Register!$S$38))</f>
        <v>102.6</v>
      </c>
      <c r="M63" s="67" t="n">
        <f aca="false">IF(M$5="A",Inputs_Actuals!M30,M62*(1+Client_Register!$S$38))</f>
        <v>99.89125</v>
      </c>
      <c r="N63" s="67" t="n">
        <f aca="false">IF(N$5="A",Inputs_Actuals!N30,N62*(1+Client_Register!$S$38))</f>
        <v>99.89125</v>
      </c>
      <c r="O63" s="67" t="n">
        <f aca="false">IF(O$5="A",Inputs_Actuals!O30,O62*(1+Client_Register!$S$38))</f>
        <v>99.89125</v>
      </c>
      <c r="P63" s="67" t="n">
        <f aca="false">IF(P$5="A",Inputs_Actuals!P30,P62*(1+Client_Register!$S$38))</f>
        <v>99.89125</v>
      </c>
      <c r="Q63" s="67" t="n">
        <f aca="false">IF(Q$5="A",Inputs_Actuals!Q30,Q62*(1+Client_Register!$S$38))</f>
        <v>99.89125</v>
      </c>
      <c r="R63" s="67" t="n">
        <f aca="false">IF(R$5="A",Inputs_Actuals!R30,R62*(1+Client_Register!$S$38))</f>
        <v>99.89125</v>
      </c>
      <c r="S63" s="67" t="n">
        <f aca="false">IF(S$5="A",Inputs_Actuals!S30,S62*(1+Client_Register!$S$38))</f>
        <v>99.89125</v>
      </c>
      <c r="T63" s="67" t="n">
        <f aca="false">IF(T$5="A",Inputs_Actuals!T30,T62*(1+Client_Register!$S$38))</f>
        <v>99.89125</v>
      </c>
      <c r="U63" s="67" t="n">
        <f aca="false">IF(U$5="A",Inputs_Actuals!U30,U62*(1+Client_Register!$S$38))</f>
        <v>99.89125</v>
      </c>
      <c r="V63" s="67" t="n">
        <f aca="false">IF(V$5="A",Inputs_Actuals!V30,V62*(1+Client_Register!$S$38))</f>
        <v>99.89125</v>
      </c>
      <c r="W63" s="67" t="n">
        <f aca="false">IF(W$5="A",Inputs_Actuals!W30,W62*(1+Client_Register!$S$38))</f>
        <v>89.902125</v>
      </c>
      <c r="X63" s="67" t="n">
        <f aca="false">IF(X$5="A",Inputs_Actuals!X30,X62*(1+Client_Register!$S$38))</f>
        <v>89.902125</v>
      </c>
      <c r="Y63" s="67" t="n">
        <f aca="false">IF(Y$5="A",Inputs_Actuals!Y30,Y62*(1+Client_Register!$S$38))</f>
        <v>89.902125</v>
      </c>
      <c r="Z63" s="67" t="n">
        <f aca="false">IF(Z$5="A",Inputs_Actuals!Z30,Z62*(1+Client_Register!$S$38))</f>
        <v>89.902125</v>
      </c>
      <c r="AA63" s="67" t="n">
        <f aca="false">IF(AA$5="A",Inputs_Actuals!AA30,AA62*(1+Client_Register!$S$38))</f>
        <v>89.902125</v>
      </c>
      <c r="AB63" s="67" t="n">
        <f aca="false">IF(AB$5="A",Inputs_Actuals!AB30,AB62*(1+Client_Register!$S$38))</f>
        <v>89.902125</v>
      </c>
    </row>
    <row r="64" customFormat="false" ht="15" hidden="false" customHeight="false" outlineLevel="0" collapsed="false">
      <c r="A64" s="28" t="s">
        <v>860</v>
      </c>
      <c r="B64" s="58" t="s">
        <v>861</v>
      </c>
      <c r="C64" s="66" t="n">
        <f aca="false">SUM(E64:P64)</f>
        <v>75.465</v>
      </c>
      <c r="D64" s="66" t="n">
        <f aca="false">SUM(Q64:AB64)</f>
        <v>55.7602500000001</v>
      </c>
      <c r="E64" s="72" t="n">
        <f aca="false">E63-E62</f>
        <v>0.200000000000003</v>
      </c>
      <c r="F64" s="72" t="n">
        <f aca="false">F63-F62</f>
        <v>3.3</v>
      </c>
      <c r="G64" s="72" t="n">
        <f aca="false">G63-G62</f>
        <v>7.8</v>
      </c>
      <c r="H64" s="72" t="n">
        <f aca="false">H63-H62</f>
        <v>12.6</v>
      </c>
      <c r="I64" s="72" t="n">
        <f aca="false">I63-I62</f>
        <v>15.5</v>
      </c>
      <c r="J64" s="72" t="n">
        <f aca="false">J63-J62</f>
        <v>-0.299999999999997</v>
      </c>
      <c r="K64" s="72" t="n">
        <f aca="false">K63-K62</f>
        <v>9.2</v>
      </c>
      <c r="L64" s="72" t="n">
        <f aca="false">L63-L62</f>
        <v>7.59999999999999</v>
      </c>
      <c r="M64" s="72" t="n">
        <f aca="false">M63-M62</f>
        <v>4.89125</v>
      </c>
      <c r="N64" s="72" t="n">
        <f aca="false">N63-N62</f>
        <v>4.89125</v>
      </c>
      <c r="O64" s="72" t="n">
        <f aca="false">O63-O62</f>
        <v>4.89125</v>
      </c>
      <c r="P64" s="72" t="n">
        <f aca="false">P63-P62</f>
        <v>4.89125</v>
      </c>
      <c r="Q64" s="72" t="n">
        <f aca="false">Q63-Q62</f>
        <v>4.89125</v>
      </c>
      <c r="R64" s="72" t="n">
        <f aca="false">R63-R62</f>
        <v>4.89125</v>
      </c>
      <c r="S64" s="72" t="n">
        <f aca="false">S63-S62</f>
        <v>4.89125</v>
      </c>
      <c r="T64" s="72" t="n">
        <f aca="false">T63-T62</f>
        <v>4.89125</v>
      </c>
      <c r="U64" s="72" t="n">
        <f aca="false">U63-U62</f>
        <v>4.89125</v>
      </c>
      <c r="V64" s="72" t="n">
        <f aca="false">V63-V62</f>
        <v>4.89125</v>
      </c>
      <c r="W64" s="72" t="n">
        <f aca="false">W63-W62</f>
        <v>4.40212500000001</v>
      </c>
      <c r="X64" s="72" t="n">
        <f aca="false">X63-X62</f>
        <v>4.40212500000001</v>
      </c>
      <c r="Y64" s="72" t="n">
        <f aca="false">Y63-Y62</f>
        <v>4.40212500000001</v>
      </c>
      <c r="Z64" s="72" t="n">
        <f aca="false">Z63-Z62</f>
        <v>4.40212500000001</v>
      </c>
      <c r="AA64" s="72" t="n">
        <f aca="false">AA63-AA62</f>
        <v>4.40212500000001</v>
      </c>
      <c r="AB64" s="72" t="n">
        <f aca="false">AB63-AB62</f>
        <v>4.40212500000001</v>
      </c>
    </row>
    <row r="65" customFormat="false" ht="15" hidden="false" customHeight="false" outlineLevel="0" collapsed="false">
      <c r="A65" s="28" t="s">
        <v>862</v>
      </c>
      <c r="B65" s="58" t="s">
        <v>863</v>
      </c>
      <c r="C65" s="59" t="n">
        <f aca="false">SUM(E65:P65)</f>
        <v>3522.05801730725</v>
      </c>
      <c r="D65" s="59" t="n">
        <f aca="false">SUM(Q65:AB65)</f>
        <v>2719.51796408583</v>
      </c>
      <c r="E65" s="60" t="n">
        <f aca="false">E64*Utilisation!E89</f>
        <v>9.33428216340635</v>
      </c>
      <c r="F65" s="60" t="n">
        <f aca="false">F64*Utilisation!F89</f>
        <v>154.015655696202</v>
      </c>
      <c r="G65" s="60" t="n">
        <f aca="false">G64*Utilisation!G89</f>
        <v>364.037004372842</v>
      </c>
      <c r="H65" s="60" t="n">
        <f aca="false">H64*Utilisation!H89</f>
        <v>588.059776294591</v>
      </c>
      <c r="I65" s="60" t="n">
        <f aca="false">I64*Utilisation!I89</f>
        <v>723.406867663982</v>
      </c>
      <c r="J65" s="60" t="n">
        <f aca="false">J64*Utilisation!J89</f>
        <v>-14.0014232451092</v>
      </c>
      <c r="K65" s="60" t="n">
        <f aca="false">K64*Utilisation!K89</f>
        <v>429.376979516686</v>
      </c>
      <c r="L65" s="60" t="n">
        <f aca="false">L64*Utilisation!L89</f>
        <v>354.702722209436</v>
      </c>
      <c r="M65" s="60" t="n">
        <f aca="false">M64*Utilisation!M89</f>
        <v>228.281538158803</v>
      </c>
      <c r="N65" s="60" t="n">
        <f aca="false">N64*Utilisation!N89</f>
        <v>228.281538158803</v>
      </c>
      <c r="O65" s="60" t="n">
        <f aca="false">O64*Utilisation!O89</f>
        <v>228.281538158803</v>
      </c>
      <c r="P65" s="60" t="n">
        <f aca="false">P64*Utilisation!P89</f>
        <v>228.281538158803</v>
      </c>
      <c r="Q65" s="60" t="n">
        <f aca="false">Q64*Utilisation!Q89</f>
        <v>238.554207375949</v>
      </c>
      <c r="R65" s="60" t="n">
        <f aca="false">R64*Utilisation!R89</f>
        <v>238.554207375949</v>
      </c>
      <c r="S65" s="60" t="n">
        <f aca="false">S64*Utilisation!S89</f>
        <v>238.554207375949</v>
      </c>
      <c r="T65" s="60" t="n">
        <f aca="false">T64*Utilisation!T89</f>
        <v>238.554207375949</v>
      </c>
      <c r="U65" s="60" t="n">
        <f aca="false">U64*Utilisation!U89</f>
        <v>238.554207375949</v>
      </c>
      <c r="V65" s="60" t="n">
        <f aca="false">V64*Utilisation!V89</f>
        <v>238.554207375949</v>
      </c>
      <c r="W65" s="60" t="n">
        <f aca="false">W64*Utilisation!W89</f>
        <v>214.698786638355</v>
      </c>
      <c r="X65" s="60" t="n">
        <f aca="false">X64*Utilisation!X89</f>
        <v>214.698786638355</v>
      </c>
      <c r="Y65" s="60" t="n">
        <f aca="false">Y64*Utilisation!Y89</f>
        <v>214.698786638355</v>
      </c>
      <c r="Z65" s="60" t="n">
        <f aca="false">Z64*Utilisation!Z89</f>
        <v>214.698786638355</v>
      </c>
      <c r="AA65" s="60" t="n">
        <f aca="false">AA64*Utilisation!AA89</f>
        <v>214.698786638355</v>
      </c>
      <c r="AB65" s="60" t="n">
        <f aca="false">AB64*Utilisation!AB89</f>
        <v>214.698786638355</v>
      </c>
    </row>
    <row r="66" customFormat="false" ht="15" hidden="false" customHeight="false" outlineLevel="0" collapsed="false">
      <c r="A66" s="28" t="s">
        <v>864</v>
      </c>
      <c r="B66" s="58" t="s">
        <v>865</v>
      </c>
      <c r="C66" s="59" t="n">
        <f aca="false">SUM(E66:P66)</f>
        <v>132000</v>
      </c>
      <c r="D66" s="59" t="n">
        <f aca="false">SUM(Q66:AB66)</f>
        <v>127776</v>
      </c>
      <c r="E66" s="60" t="n">
        <f aca="false">IF(E$5="A",Inputs_Actuals!E31,E60)</f>
        <v>11000</v>
      </c>
      <c r="F66" s="60" t="n">
        <f aca="false">IF(F$5="A",Inputs_Actuals!F31,F60)</f>
        <v>11000</v>
      </c>
      <c r="G66" s="60" t="n">
        <f aca="false">IF(G$5="A",Inputs_Actuals!G31,G60)</f>
        <v>11000</v>
      </c>
      <c r="H66" s="60" t="n">
        <f aca="false">IF(H$5="A",Inputs_Actuals!H31,H60)</f>
        <v>11000</v>
      </c>
      <c r="I66" s="60" t="n">
        <f aca="false">IF(I$5="A",Inputs_Actuals!I31,I60)</f>
        <v>11000</v>
      </c>
      <c r="J66" s="60" t="n">
        <f aca="false">IF(J$5="A",Inputs_Actuals!J31,J60)</f>
        <v>11000</v>
      </c>
      <c r="K66" s="60" t="n">
        <f aca="false">IF(K$5="A",Inputs_Actuals!K31,K60)</f>
        <v>11000</v>
      </c>
      <c r="L66" s="60" t="n">
        <f aca="false">IF(L$5="A",Inputs_Actuals!L31,L60)</f>
        <v>11000</v>
      </c>
      <c r="M66" s="60" t="n">
        <f aca="false">IF(M$5="A",Inputs_Actuals!M31,M60)</f>
        <v>11000</v>
      </c>
      <c r="N66" s="60" t="n">
        <f aca="false">IF(N$5="A",Inputs_Actuals!N31,N60)</f>
        <v>11000</v>
      </c>
      <c r="O66" s="60" t="n">
        <f aca="false">IF(O$5="A",Inputs_Actuals!O31,O60)</f>
        <v>11000</v>
      </c>
      <c r="P66" s="60" t="n">
        <f aca="false">IF(P$5="A",Inputs_Actuals!P31,P60)</f>
        <v>11000</v>
      </c>
      <c r="Q66" s="60" t="n">
        <f aca="false">IF(Q$5="A",Inputs_Actuals!Q31,Q60)</f>
        <v>11000</v>
      </c>
      <c r="R66" s="60" t="n">
        <f aca="false">IF(R$5="A",Inputs_Actuals!R31,R60)</f>
        <v>11000</v>
      </c>
      <c r="S66" s="60" t="n">
        <f aca="false">IF(S$5="A",Inputs_Actuals!S31,S60)</f>
        <v>11000</v>
      </c>
      <c r="T66" s="60" t="n">
        <f aca="false">IF(T$5="A",Inputs_Actuals!T31,T60)</f>
        <v>11000</v>
      </c>
      <c r="U66" s="60" t="n">
        <f aca="false">IF(U$5="A",Inputs_Actuals!U31,U60)</f>
        <v>11000</v>
      </c>
      <c r="V66" s="60" t="n">
        <f aca="false">IF(V$5="A",Inputs_Actuals!V31,V60)</f>
        <v>11000</v>
      </c>
      <c r="W66" s="60" t="n">
        <f aca="false">IF(W$5="A",Inputs_Actuals!W31,W60)</f>
        <v>10296</v>
      </c>
      <c r="X66" s="60" t="n">
        <f aca="false">IF(X$5="A",Inputs_Actuals!X31,X60)</f>
        <v>10296</v>
      </c>
      <c r="Y66" s="60" t="n">
        <f aca="false">IF(Y$5="A",Inputs_Actuals!Y31,Y60)</f>
        <v>10296</v>
      </c>
      <c r="Z66" s="60" t="n">
        <f aca="false">IF(Z$5="A",Inputs_Actuals!Z31,Z60)</f>
        <v>10296</v>
      </c>
      <c r="AA66" s="60" t="n">
        <f aca="false">IF(AA$5="A",Inputs_Actuals!AA31,AA60)</f>
        <v>10296</v>
      </c>
      <c r="AB66" s="60" t="n">
        <f aca="false">IF(AB$5="A",Inputs_Actuals!AB31,AB60)</f>
        <v>10296</v>
      </c>
    </row>
    <row r="68" customFormat="false" ht="15" hidden="false" customHeight="false" outlineLevel="0" collapsed="false">
      <c r="A68" s="22" t="s">
        <v>873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row>
    <row r="69" customFormat="false" ht="15" hidden="false" customHeight="false" outlineLevel="0" collapsed="false">
      <c r="A69" s="28" t="s">
        <v>852</v>
      </c>
      <c r="B69" s="58" t="s">
        <v>79</v>
      </c>
      <c r="C69" s="110" t="n">
        <f aca="false">AVERAGE(E69:P69)</f>
        <v>1</v>
      </c>
      <c r="D69" s="110" t="n">
        <f aca="false">AVERAGE(Q69:AB69)</f>
        <v>0.85</v>
      </c>
      <c r="E69" s="93" t="n">
        <f aca="false">IF(Assumptions!E$99&lt;Client_Register!$P$39,0,IF(Assumptions!E$99&lt;=Client_Register!$Q$39,1,Client_Register!$N$39))</f>
        <v>1</v>
      </c>
      <c r="F69" s="93" t="n">
        <f aca="false">IF(Assumptions!F$99&lt;Client_Register!$P$39,0,IF(Assumptions!F$99&lt;=Client_Register!$Q$39,1,Client_Register!$N$39))</f>
        <v>1</v>
      </c>
      <c r="G69" s="93" t="n">
        <f aca="false">IF(Assumptions!G$99&lt;Client_Register!$P$39,0,IF(Assumptions!G$99&lt;=Client_Register!$Q$39,1,Client_Register!$N$39))</f>
        <v>1</v>
      </c>
      <c r="H69" s="93" t="n">
        <f aca="false">IF(Assumptions!H$99&lt;Client_Register!$P$39,0,IF(Assumptions!H$99&lt;=Client_Register!$Q$39,1,Client_Register!$N$39))</f>
        <v>1</v>
      </c>
      <c r="I69" s="93" t="n">
        <f aca="false">IF(Assumptions!I$99&lt;Client_Register!$P$39,0,IF(Assumptions!I$99&lt;=Client_Register!$Q$39,1,Client_Register!$N$39))</f>
        <v>1</v>
      </c>
      <c r="J69" s="93" t="n">
        <f aca="false">IF(Assumptions!J$99&lt;Client_Register!$P$39,0,IF(Assumptions!J$99&lt;=Client_Register!$Q$39,1,Client_Register!$N$39))</f>
        <v>1</v>
      </c>
      <c r="K69" s="93" t="n">
        <f aca="false">IF(Assumptions!K$99&lt;Client_Register!$P$39,0,IF(Assumptions!K$99&lt;=Client_Register!$Q$39,1,Client_Register!$N$39))</f>
        <v>1</v>
      </c>
      <c r="L69" s="93" t="n">
        <f aca="false">IF(Assumptions!L$99&lt;Client_Register!$P$39,0,IF(Assumptions!L$99&lt;=Client_Register!$Q$39,1,Client_Register!$N$39))</f>
        <v>1</v>
      </c>
      <c r="M69" s="93" t="n">
        <f aca="false">IF(Assumptions!M$99&lt;Client_Register!$P$39,0,IF(Assumptions!M$99&lt;=Client_Register!$Q$39,1,Client_Register!$N$39))</f>
        <v>1</v>
      </c>
      <c r="N69" s="93" t="n">
        <f aca="false">IF(Assumptions!N$99&lt;Client_Register!$P$39,0,IF(Assumptions!N$99&lt;=Client_Register!$Q$39,1,Client_Register!$N$39))</f>
        <v>1</v>
      </c>
      <c r="O69" s="93" t="n">
        <f aca="false">IF(Assumptions!O$99&lt;Client_Register!$P$39,0,IF(Assumptions!O$99&lt;=Client_Register!$Q$39,1,Client_Register!$N$39))</f>
        <v>1</v>
      </c>
      <c r="P69" s="93" t="n">
        <f aca="false">IF(Assumptions!P$99&lt;Client_Register!$P$39,0,IF(Assumptions!P$99&lt;=Client_Register!$Q$39,1,Client_Register!$N$39))</f>
        <v>1</v>
      </c>
      <c r="Q69" s="93" t="n">
        <f aca="false">IF(Assumptions!Q$99&lt;Client_Register!$P$39,0,IF(Assumptions!Q$99&lt;=Client_Register!$Q$39,1,Client_Register!$N$39))</f>
        <v>0.85</v>
      </c>
      <c r="R69" s="93" t="n">
        <f aca="false">IF(Assumptions!R$99&lt;Client_Register!$P$39,0,IF(Assumptions!R$99&lt;=Client_Register!$Q$39,1,Client_Register!$N$39))</f>
        <v>0.85</v>
      </c>
      <c r="S69" s="93" t="n">
        <f aca="false">IF(Assumptions!S$99&lt;Client_Register!$P$39,0,IF(Assumptions!S$99&lt;=Client_Register!$Q$39,1,Client_Register!$N$39))</f>
        <v>0.85</v>
      </c>
      <c r="T69" s="93" t="n">
        <f aca="false">IF(Assumptions!T$99&lt;Client_Register!$P$39,0,IF(Assumptions!T$99&lt;=Client_Register!$Q$39,1,Client_Register!$N$39))</f>
        <v>0.85</v>
      </c>
      <c r="U69" s="93" t="n">
        <f aca="false">IF(Assumptions!U$99&lt;Client_Register!$P$39,0,IF(Assumptions!U$99&lt;=Client_Register!$Q$39,1,Client_Register!$N$39))</f>
        <v>0.85</v>
      </c>
      <c r="V69" s="93" t="n">
        <f aca="false">IF(Assumptions!V$99&lt;Client_Register!$P$39,0,IF(Assumptions!V$99&lt;=Client_Register!$Q$39,1,Client_Register!$N$39))</f>
        <v>0.85</v>
      </c>
      <c r="W69" s="93" t="n">
        <f aca="false">IF(Assumptions!W$99&lt;Client_Register!$P$39,0,IF(Assumptions!W$99&lt;=Client_Register!$Q$39,1,Client_Register!$N$39))</f>
        <v>0.85</v>
      </c>
      <c r="X69" s="93" t="n">
        <f aca="false">IF(Assumptions!X$99&lt;Client_Register!$P$39,0,IF(Assumptions!X$99&lt;=Client_Register!$Q$39,1,Client_Register!$N$39))</f>
        <v>0.85</v>
      </c>
      <c r="Y69" s="93" t="n">
        <f aca="false">IF(Assumptions!Y$99&lt;Client_Register!$P$39,0,IF(Assumptions!Y$99&lt;=Client_Register!$Q$39,1,Client_Register!$N$39))</f>
        <v>0.85</v>
      </c>
      <c r="Z69" s="93" t="n">
        <f aca="false">IF(Assumptions!Z$99&lt;Client_Register!$P$39,0,IF(Assumptions!Z$99&lt;=Client_Register!$Q$39,1,Client_Register!$N$39))</f>
        <v>0.85</v>
      </c>
      <c r="AA69" s="93" t="n">
        <f aca="false">IF(Assumptions!AA$99&lt;Client_Register!$P$39,0,IF(Assumptions!AA$99&lt;=Client_Register!$Q$39,1,Client_Register!$N$39))</f>
        <v>0.85</v>
      </c>
      <c r="AB69" s="93" t="n">
        <f aca="false">IF(Assumptions!AB$99&lt;Client_Register!$P$39,0,IF(Assumptions!AB$99&lt;=Client_Register!$Q$39,1,Client_Register!$N$39))</f>
        <v>0.85</v>
      </c>
    </row>
    <row r="70" customFormat="false" ht="15" hidden="false" customHeight="false" outlineLevel="0" collapsed="false">
      <c r="A70" s="28" t="s">
        <v>874</v>
      </c>
      <c r="B70" s="58" t="s">
        <v>854</v>
      </c>
      <c r="C70" s="59" t="n">
        <f aca="false">SUM(E70:P70)</f>
        <v>222000</v>
      </c>
      <c r="D70" s="59" t="n">
        <f aca="false">SUM(Q70:AB70)</f>
        <v>196248</v>
      </c>
      <c r="E70" s="60" t="n">
        <f aca="false">IF(E$5="A",Inputs_Actuals!E32,Client_Register!$G$39*E69*IF(Assumptions!E$99&gt;Client_Register!$Q$39,1+Assumptions!$F$114,1))</f>
        <v>18500</v>
      </c>
      <c r="F70" s="60" t="n">
        <f aca="false">IF(F$5="A",Inputs_Actuals!F32,Client_Register!$G$39*F69*IF(Assumptions!F$99&gt;Client_Register!$Q$39,1+Assumptions!$F$114,1))</f>
        <v>18500</v>
      </c>
      <c r="G70" s="60" t="n">
        <f aca="false">IF(G$5="A",Inputs_Actuals!G32,Client_Register!$G$39*G69*IF(Assumptions!G$99&gt;Client_Register!$Q$39,1+Assumptions!$F$114,1))</f>
        <v>18500</v>
      </c>
      <c r="H70" s="60" t="n">
        <f aca="false">IF(H$5="A",Inputs_Actuals!H32,Client_Register!$G$39*H69*IF(Assumptions!H$99&gt;Client_Register!$Q$39,1+Assumptions!$F$114,1))</f>
        <v>18500</v>
      </c>
      <c r="I70" s="60" t="n">
        <f aca="false">IF(I$5="A",Inputs_Actuals!I32,Client_Register!$G$39*I69*IF(Assumptions!I$99&gt;Client_Register!$Q$39,1+Assumptions!$F$114,1))</f>
        <v>18500</v>
      </c>
      <c r="J70" s="60" t="n">
        <f aca="false">IF(J$5="A",Inputs_Actuals!J32,Client_Register!$G$39*J69*IF(Assumptions!J$99&gt;Client_Register!$Q$39,1+Assumptions!$F$114,1))</f>
        <v>18500</v>
      </c>
      <c r="K70" s="60" t="n">
        <f aca="false">IF(K$5="A",Inputs_Actuals!K32,Client_Register!$G$39*K69*IF(Assumptions!K$99&gt;Client_Register!$Q$39,1+Assumptions!$F$114,1))</f>
        <v>18500</v>
      </c>
      <c r="L70" s="60" t="n">
        <f aca="false">IF(L$5="A",Inputs_Actuals!L32,Client_Register!$G$39*L69*IF(Assumptions!L$99&gt;Client_Register!$Q$39,1+Assumptions!$F$114,1))</f>
        <v>18500</v>
      </c>
      <c r="M70" s="60" t="n">
        <f aca="false">IF(M$5="A",Inputs_Actuals!M32,Client_Register!$G$39*M69*IF(Assumptions!M$99&gt;Client_Register!$Q$39,1+Assumptions!$F$114,1))</f>
        <v>18500</v>
      </c>
      <c r="N70" s="60" t="n">
        <f aca="false">IF(N$5="A",Inputs_Actuals!N32,Client_Register!$G$39*N69*IF(Assumptions!N$99&gt;Client_Register!$Q$39,1+Assumptions!$F$114,1))</f>
        <v>18500</v>
      </c>
      <c r="O70" s="60" t="n">
        <f aca="false">IF(O$5="A",Inputs_Actuals!O32,Client_Register!$G$39*O69*IF(Assumptions!O$99&gt;Client_Register!$Q$39,1+Assumptions!$F$114,1))</f>
        <v>18500</v>
      </c>
      <c r="P70" s="60" t="n">
        <f aca="false">IF(P$5="A",Inputs_Actuals!P32,Client_Register!$G$39*P69*IF(Assumptions!P$99&gt;Client_Register!$Q$39,1+Assumptions!$F$114,1))</f>
        <v>18500</v>
      </c>
      <c r="Q70" s="60" t="n">
        <f aca="false">IF(Q$5="A",Inputs_Actuals!Q32,Client_Register!$G$39*Q69*IF(Assumptions!Q$99&gt;Client_Register!$Q$39,1+Assumptions!$F$114,1))</f>
        <v>16354</v>
      </c>
      <c r="R70" s="60" t="n">
        <f aca="false">IF(R$5="A",Inputs_Actuals!R32,Client_Register!$G$39*R69*IF(Assumptions!R$99&gt;Client_Register!$Q$39,1+Assumptions!$F$114,1))</f>
        <v>16354</v>
      </c>
      <c r="S70" s="60" t="n">
        <f aca="false">IF(S$5="A",Inputs_Actuals!S32,Client_Register!$G$39*S69*IF(Assumptions!S$99&gt;Client_Register!$Q$39,1+Assumptions!$F$114,1))</f>
        <v>16354</v>
      </c>
      <c r="T70" s="60" t="n">
        <f aca="false">IF(T$5="A",Inputs_Actuals!T32,Client_Register!$G$39*T69*IF(Assumptions!T$99&gt;Client_Register!$Q$39,1+Assumptions!$F$114,1))</f>
        <v>16354</v>
      </c>
      <c r="U70" s="60" t="n">
        <f aca="false">IF(U$5="A",Inputs_Actuals!U32,Client_Register!$G$39*U69*IF(Assumptions!U$99&gt;Client_Register!$Q$39,1+Assumptions!$F$114,1))</f>
        <v>16354</v>
      </c>
      <c r="V70" s="60" t="n">
        <f aca="false">IF(V$5="A",Inputs_Actuals!V32,Client_Register!$G$39*V69*IF(Assumptions!V$99&gt;Client_Register!$Q$39,1+Assumptions!$F$114,1))</f>
        <v>16354</v>
      </c>
      <c r="W70" s="60" t="n">
        <f aca="false">IF(W$5="A",Inputs_Actuals!W32,Client_Register!$G$39*W69*IF(Assumptions!W$99&gt;Client_Register!$Q$39,1+Assumptions!$F$114,1))</f>
        <v>16354</v>
      </c>
      <c r="X70" s="60" t="n">
        <f aca="false">IF(X$5="A",Inputs_Actuals!X32,Client_Register!$G$39*X69*IF(Assumptions!X$99&gt;Client_Register!$Q$39,1+Assumptions!$F$114,1))</f>
        <v>16354</v>
      </c>
      <c r="Y70" s="60" t="n">
        <f aca="false">IF(Y$5="A",Inputs_Actuals!Y32,Client_Register!$G$39*Y69*IF(Assumptions!Y$99&gt;Client_Register!$Q$39,1+Assumptions!$F$114,1))</f>
        <v>16354</v>
      </c>
      <c r="Z70" s="60" t="n">
        <f aca="false">IF(Z$5="A",Inputs_Actuals!Z32,Client_Register!$G$39*Z69*IF(Assumptions!Z$99&gt;Client_Register!$Q$39,1+Assumptions!$F$114,1))</f>
        <v>16354</v>
      </c>
      <c r="AA70" s="60" t="n">
        <f aca="false">IF(AA$5="A",Inputs_Actuals!AA32,Client_Register!$G$39*AA69*IF(Assumptions!AA$99&gt;Client_Register!$Q$39,1+Assumptions!$F$114,1))</f>
        <v>16354</v>
      </c>
      <c r="AB70" s="60" t="n">
        <f aca="false">IF(AB$5="A",Inputs_Actuals!AB32,Client_Register!$G$39*AB69*IF(Assumptions!AB$99&gt;Client_Register!$Q$39,1+Assumptions!$F$114,1))</f>
        <v>16354</v>
      </c>
    </row>
    <row r="71" customFormat="false" ht="15" hidden="false" customHeight="false" outlineLevel="0" collapsed="false">
      <c r="A71" s="28" t="s">
        <v>855</v>
      </c>
      <c r="B71" s="58" t="s">
        <v>856</v>
      </c>
      <c r="C71" s="59" t="n">
        <f aca="false">SUM(E71:P71)</f>
        <v>222000</v>
      </c>
      <c r="D71" s="59" t="n">
        <f aca="false">SUM(Q71:AB71)</f>
        <v>196248</v>
      </c>
      <c r="E71" s="71" t="n">
        <f aca="false">E70/1</f>
        <v>18500</v>
      </c>
      <c r="F71" s="71" t="n">
        <f aca="false">F70/1</f>
        <v>18500</v>
      </c>
      <c r="G71" s="71" t="n">
        <f aca="false">G70/1</f>
        <v>18500</v>
      </c>
      <c r="H71" s="71" t="n">
        <f aca="false">H70/1</f>
        <v>18500</v>
      </c>
      <c r="I71" s="71" t="n">
        <f aca="false">I70/1</f>
        <v>18500</v>
      </c>
      <c r="J71" s="71" t="n">
        <f aca="false">J70/1</f>
        <v>18500</v>
      </c>
      <c r="K71" s="71" t="n">
        <f aca="false">K70/1</f>
        <v>18500</v>
      </c>
      <c r="L71" s="71" t="n">
        <f aca="false">L70/1</f>
        <v>18500</v>
      </c>
      <c r="M71" s="71" t="n">
        <f aca="false">M70/1</f>
        <v>18500</v>
      </c>
      <c r="N71" s="71" t="n">
        <f aca="false">N70/1</f>
        <v>18500</v>
      </c>
      <c r="O71" s="71" t="n">
        <f aca="false">O70/1</f>
        <v>18500</v>
      </c>
      <c r="P71" s="71" t="n">
        <f aca="false">P70/1</f>
        <v>18500</v>
      </c>
      <c r="Q71" s="71" t="n">
        <f aca="false">Q70/1</f>
        <v>16354</v>
      </c>
      <c r="R71" s="71" t="n">
        <f aca="false">R70/1</f>
        <v>16354</v>
      </c>
      <c r="S71" s="71" t="n">
        <f aca="false">S70/1</f>
        <v>16354</v>
      </c>
      <c r="T71" s="71" t="n">
        <f aca="false">T70/1</f>
        <v>16354</v>
      </c>
      <c r="U71" s="71" t="n">
        <f aca="false">U70/1</f>
        <v>16354</v>
      </c>
      <c r="V71" s="71" t="n">
        <f aca="false">V70/1</f>
        <v>16354</v>
      </c>
      <c r="W71" s="71" t="n">
        <f aca="false">W70/1</f>
        <v>16354</v>
      </c>
      <c r="X71" s="71" t="n">
        <f aca="false">X70/1</f>
        <v>16354</v>
      </c>
      <c r="Y71" s="71" t="n">
        <f aca="false">Y70/1</f>
        <v>16354</v>
      </c>
      <c r="Z71" s="71" t="n">
        <f aca="false">Z70/1</f>
        <v>16354</v>
      </c>
      <c r="AA71" s="71" t="n">
        <f aca="false">AA70/1</f>
        <v>16354</v>
      </c>
      <c r="AB71" s="71" t="n">
        <f aca="false">AB70/1</f>
        <v>16354</v>
      </c>
    </row>
    <row r="72" customFormat="false" ht="15" hidden="false" customHeight="false" outlineLevel="0" collapsed="false">
      <c r="A72" s="28" t="s">
        <v>857</v>
      </c>
      <c r="B72" s="58" t="s">
        <v>858</v>
      </c>
      <c r="C72" s="66" t="n">
        <f aca="false">SUM(E72:P72)</f>
        <v>2280</v>
      </c>
      <c r="D72" s="66" t="n">
        <f aca="false">SUM(Q72:AB72)</f>
        <v>1938</v>
      </c>
      <c r="E72" s="67" t="n">
        <f aca="false">Client_Register!$H$39*E69</f>
        <v>190</v>
      </c>
      <c r="F72" s="67" t="n">
        <f aca="false">Client_Register!$H$39*F69</f>
        <v>190</v>
      </c>
      <c r="G72" s="67" t="n">
        <f aca="false">Client_Register!$H$39*G69</f>
        <v>190</v>
      </c>
      <c r="H72" s="67" t="n">
        <f aca="false">Client_Register!$H$39*H69</f>
        <v>190</v>
      </c>
      <c r="I72" s="67" t="n">
        <f aca="false">Client_Register!$H$39*I69</f>
        <v>190</v>
      </c>
      <c r="J72" s="67" t="n">
        <f aca="false">Client_Register!$H$39*J69</f>
        <v>190</v>
      </c>
      <c r="K72" s="67" t="n">
        <f aca="false">Client_Register!$H$39*K69</f>
        <v>190</v>
      </c>
      <c r="L72" s="67" t="n">
        <f aca="false">Client_Register!$H$39*L69</f>
        <v>190</v>
      </c>
      <c r="M72" s="67" t="n">
        <f aca="false">Client_Register!$H$39*M69</f>
        <v>190</v>
      </c>
      <c r="N72" s="67" t="n">
        <f aca="false">Client_Register!$H$39*N69</f>
        <v>190</v>
      </c>
      <c r="O72" s="67" t="n">
        <f aca="false">Client_Register!$H$39*O69</f>
        <v>190</v>
      </c>
      <c r="P72" s="67" t="n">
        <f aca="false">Client_Register!$H$39*P69</f>
        <v>190</v>
      </c>
      <c r="Q72" s="67" t="n">
        <f aca="false">Client_Register!$H$39*Q69</f>
        <v>161.5</v>
      </c>
      <c r="R72" s="67" t="n">
        <f aca="false">Client_Register!$H$39*R69</f>
        <v>161.5</v>
      </c>
      <c r="S72" s="67" t="n">
        <f aca="false">Client_Register!$H$39*S69</f>
        <v>161.5</v>
      </c>
      <c r="T72" s="67" t="n">
        <f aca="false">Client_Register!$H$39*T69</f>
        <v>161.5</v>
      </c>
      <c r="U72" s="67" t="n">
        <f aca="false">Client_Register!$H$39*U69</f>
        <v>161.5</v>
      </c>
      <c r="V72" s="67" t="n">
        <f aca="false">Client_Register!$H$39*V69</f>
        <v>161.5</v>
      </c>
      <c r="W72" s="67" t="n">
        <f aca="false">Client_Register!$H$39*W69</f>
        <v>161.5</v>
      </c>
      <c r="X72" s="67" t="n">
        <f aca="false">Client_Register!$H$39*X69</f>
        <v>161.5</v>
      </c>
      <c r="Y72" s="67" t="n">
        <f aca="false">Client_Register!$H$39*Y69</f>
        <v>161.5</v>
      </c>
      <c r="Z72" s="67" t="n">
        <f aca="false">Client_Register!$H$39*Z69</f>
        <v>161.5</v>
      </c>
      <c r="AA72" s="67" t="n">
        <f aca="false">Client_Register!$H$39*AA69</f>
        <v>161.5</v>
      </c>
      <c r="AB72" s="67" t="n">
        <f aca="false">Client_Register!$H$39*AB69</f>
        <v>161.5</v>
      </c>
    </row>
    <row r="73" customFormat="false" ht="15" hidden="false" customHeight="false" outlineLevel="0" collapsed="false">
      <c r="A73" s="28" t="s">
        <v>802</v>
      </c>
      <c r="B73" s="58" t="s">
        <v>859</v>
      </c>
      <c r="C73" s="66" t="n">
        <f aca="false">SUM(E73:P73)</f>
        <v>2820.675</v>
      </c>
      <c r="D73" s="66" t="n">
        <f aca="false">SUM(Q73:AB73)</f>
        <v>2295.44625</v>
      </c>
      <c r="E73" s="67" t="n">
        <f aca="false">IF(E$5="A",Inputs_Actuals!E33,E72*(1+Client_Register!$S$39))</f>
        <v>245.6</v>
      </c>
      <c r="F73" s="67" t="n">
        <f aca="false">IF(F$5="A",Inputs_Actuals!F33,F72*(1+Client_Register!$S$39))</f>
        <v>240.6</v>
      </c>
      <c r="G73" s="67" t="n">
        <f aca="false">IF(G$5="A",Inputs_Actuals!G33,G72*(1+Client_Register!$S$39))</f>
        <v>251</v>
      </c>
      <c r="H73" s="67" t="n">
        <f aca="false">IF(H$5="A",Inputs_Actuals!H33,H72*(1+Client_Register!$S$39))</f>
        <v>231.6</v>
      </c>
      <c r="I73" s="67" t="n">
        <f aca="false">IF(I$5="A",Inputs_Actuals!I33,I72*(1+Client_Register!$S$39))</f>
        <v>238.5</v>
      </c>
      <c r="J73" s="67" t="n">
        <f aca="false">IF(J$5="A",Inputs_Actuals!J33,J72*(1+Client_Register!$S$39))</f>
        <v>233.5</v>
      </c>
      <c r="K73" s="67" t="n">
        <f aca="false">IF(K$5="A",Inputs_Actuals!K33,K72*(1+Client_Register!$S$39))</f>
        <v>245.4</v>
      </c>
      <c r="L73" s="67" t="n">
        <f aca="false">IF(L$5="A",Inputs_Actuals!L33,L72*(1+Client_Register!$S$39))</f>
        <v>234.3</v>
      </c>
      <c r="M73" s="67" t="n">
        <f aca="false">IF(M$5="A",Inputs_Actuals!M33,M72*(1+Client_Register!$S$39))</f>
        <v>225.04375</v>
      </c>
      <c r="N73" s="67" t="n">
        <f aca="false">IF(N$5="A",Inputs_Actuals!N33,N72*(1+Client_Register!$S$39))</f>
        <v>225.04375</v>
      </c>
      <c r="O73" s="67" t="n">
        <f aca="false">IF(O$5="A",Inputs_Actuals!O33,O72*(1+Client_Register!$S$39))</f>
        <v>225.04375</v>
      </c>
      <c r="P73" s="67" t="n">
        <f aca="false">IF(P$5="A",Inputs_Actuals!P33,P72*(1+Client_Register!$S$39))</f>
        <v>225.04375</v>
      </c>
      <c r="Q73" s="67" t="n">
        <f aca="false">IF(Q$5="A",Inputs_Actuals!Q33,Q72*(1+Client_Register!$S$39))</f>
        <v>191.2871875</v>
      </c>
      <c r="R73" s="67" t="n">
        <f aca="false">IF(R$5="A",Inputs_Actuals!R33,R72*(1+Client_Register!$S$39))</f>
        <v>191.2871875</v>
      </c>
      <c r="S73" s="67" t="n">
        <f aca="false">IF(S$5="A",Inputs_Actuals!S33,S72*(1+Client_Register!$S$39))</f>
        <v>191.2871875</v>
      </c>
      <c r="T73" s="67" t="n">
        <f aca="false">IF(T$5="A",Inputs_Actuals!T33,T72*(1+Client_Register!$S$39))</f>
        <v>191.2871875</v>
      </c>
      <c r="U73" s="67" t="n">
        <f aca="false">IF(U$5="A",Inputs_Actuals!U33,U72*(1+Client_Register!$S$39))</f>
        <v>191.2871875</v>
      </c>
      <c r="V73" s="67" t="n">
        <f aca="false">IF(V$5="A",Inputs_Actuals!V33,V72*(1+Client_Register!$S$39))</f>
        <v>191.2871875</v>
      </c>
      <c r="W73" s="67" t="n">
        <f aca="false">IF(W$5="A",Inputs_Actuals!W33,W72*(1+Client_Register!$S$39))</f>
        <v>191.2871875</v>
      </c>
      <c r="X73" s="67" t="n">
        <f aca="false">IF(X$5="A",Inputs_Actuals!X33,X72*(1+Client_Register!$S$39))</f>
        <v>191.2871875</v>
      </c>
      <c r="Y73" s="67" t="n">
        <f aca="false">IF(Y$5="A",Inputs_Actuals!Y33,Y72*(1+Client_Register!$S$39))</f>
        <v>191.2871875</v>
      </c>
      <c r="Z73" s="67" t="n">
        <f aca="false">IF(Z$5="A",Inputs_Actuals!Z33,Z72*(1+Client_Register!$S$39))</f>
        <v>191.2871875</v>
      </c>
      <c r="AA73" s="67" t="n">
        <f aca="false">IF(AA$5="A",Inputs_Actuals!AA33,AA72*(1+Client_Register!$S$39))</f>
        <v>191.2871875</v>
      </c>
      <c r="AB73" s="67" t="n">
        <f aca="false">IF(AB$5="A",Inputs_Actuals!AB33,AB72*(1+Client_Register!$S$39))</f>
        <v>191.2871875</v>
      </c>
    </row>
    <row r="74" customFormat="false" ht="15" hidden="false" customHeight="false" outlineLevel="0" collapsed="false">
      <c r="A74" s="28" t="s">
        <v>860</v>
      </c>
      <c r="B74" s="58" t="s">
        <v>861</v>
      </c>
      <c r="C74" s="66" t="n">
        <f aca="false">SUM(E74:P74)</f>
        <v>540.675</v>
      </c>
      <c r="D74" s="66" t="n">
        <f aca="false">SUM(Q74:AB74)</f>
        <v>357.44625</v>
      </c>
      <c r="E74" s="72" t="n">
        <f aca="false">E73-E72</f>
        <v>55.6</v>
      </c>
      <c r="F74" s="72" t="n">
        <f aca="false">F73-F72</f>
        <v>50.6</v>
      </c>
      <c r="G74" s="72" t="n">
        <f aca="false">G73-G72</f>
        <v>61</v>
      </c>
      <c r="H74" s="72" t="n">
        <f aca="false">H73-H72</f>
        <v>41.6</v>
      </c>
      <c r="I74" s="72" t="n">
        <f aca="false">I73-I72</f>
        <v>48.5</v>
      </c>
      <c r="J74" s="72" t="n">
        <f aca="false">J73-J72</f>
        <v>43.5</v>
      </c>
      <c r="K74" s="72" t="n">
        <f aca="false">K73-K72</f>
        <v>55.4</v>
      </c>
      <c r="L74" s="72" t="n">
        <f aca="false">L73-L72</f>
        <v>44.3</v>
      </c>
      <c r="M74" s="72" t="n">
        <f aca="false">M73-M72</f>
        <v>35.04375</v>
      </c>
      <c r="N74" s="72" t="n">
        <f aca="false">N73-N72</f>
        <v>35.04375</v>
      </c>
      <c r="O74" s="72" t="n">
        <f aca="false">O73-O72</f>
        <v>35.04375</v>
      </c>
      <c r="P74" s="72" t="n">
        <f aca="false">P73-P72</f>
        <v>35.04375</v>
      </c>
      <c r="Q74" s="72" t="n">
        <f aca="false">Q73-Q72</f>
        <v>29.7871875</v>
      </c>
      <c r="R74" s="72" t="n">
        <f aca="false">R73-R72</f>
        <v>29.7871875</v>
      </c>
      <c r="S74" s="72" t="n">
        <f aca="false">S73-S72</f>
        <v>29.7871875</v>
      </c>
      <c r="T74" s="72" t="n">
        <f aca="false">T73-T72</f>
        <v>29.7871875</v>
      </c>
      <c r="U74" s="72" t="n">
        <f aca="false">U73-U72</f>
        <v>29.7871875</v>
      </c>
      <c r="V74" s="72" t="n">
        <f aca="false">V73-V72</f>
        <v>29.7871875</v>
      </c>
      <c r="W74" s="72" t="n">
        <f aca="false">W73-W72</f>
        <v>29.7871875</v>
      </c>
      <c r="X74" s="72" t="n">
        <f aca="false">X73-X72</f>
        <v>29.7871875</v>
      </c>
      <c r="Y74" s="72" t="n">
        <f aca="false">Y73-Y72</f>
        <v>29.7871875</v>
      </c>
      <c r="Z74" s="72" t="n">
        <f aca="false">Z73-Z72</f>
        <v>29.7871875</v>
      </c>
      <c r="AA74" s="72" t="n">
        <f aca="false">AA73-AA72</f>
        <v>29.7871875</v>
      </c>
      <c r="AB74" s="72" t="n">
        <f aca="false">AB73-AB72</f>
        <v>29.7871875</v>
      </c>
    </row>
    <row r="75" customFormat="false" ht="15" hidden="false" customHeight="false" outlineLevel="0" collapsed="false">
      <c r="A75" s="28" t="s">
        <v>862</v>
      </c>
      <c r="B75" s="58" t="s">
        <v>863</v>
      </c>
      <c r="C75" s="59" t="n">
        <f aca="false">SUM(E75:P75)</f>
        <v>25154.1471811277</v>
      </c>
      <c r="D75" s="59" t="n">
        <f aca="false">SUM(Q75:AB75)</f>
        <v>17378.0220706063</v>
      </c>
      <c r="E75" s="60" t="n">
        <f aca="false">E74*Utilisation!E88</f>
        <v>2586.71213440737</v>
      </c>
      <c r="F75" s="60" t="n">
        <f aca="false">F74*Utilisation!F88</f>
        <v>2354.09413670886</v>
      </c>
      <c r="G75" s="60" t="n">
        <f aca="false">G74*Utilisation!G88</f>
        <v>2837.93957192175</v>
      </c>
      <c r="H75" s="60" t="n">
        <f aca="false">H74*Utilisation!H88</f>
        <v>1935.38174085155</v>
      </c>
      <c r="I75" s="60" t="n">
        <f aca="false">I74*Utilisation!I88</f>
        <v>2256.39457767549</v>
      </c>
      <c r="J75" s="60" t="n">
        <f aca="false">J74*Utilisation!J88</f>
        <v>2023.77657997699</v>
      </c>
      <c r="K75" s="60" t="n">
        <f aca="false">K74*Utilisation!K88</f>
        <v>2577.40741449943</v>
      </c>
      <c r="L75" s="60" t="n">
        <f aca="false">L74*Utilisation!L88</f>
        <v>2060.99545960875</v>
      </c>
      <c r="M75" s="60" t="n">
        <f aca="false">M74*Utilisation!M88</f>
        <v>1630.36139136939</v>
      </c>
      <c r="N75" s="60" t="n">
        <f aca="false">N74*Utilisation!N88</f>
        <v>1630.36139136939</v>
      </c>
      <c r="O75" s="60" t="n">
        <f aca="false">O74*Utilisation!O88</f>
        <v>1630.36139136939</v>
      </c>
      <c r="P75" s="60" t="n">
        <f aca="false">P74*Utilisation!P88</f>
        <v>1630.36139136939</v>
      </c>
      <c r="Q75" s="60" t="n">
        <f aca="false">Q74*Utilisation!Q88</f>
        <v>1448.16850588386</v>
      </c>
      <c r="R75" s="60" t="n">
        <f aca="false">R74*Utilisation!R88</f>
        <v>1448.16850588386</v>
      </c>
      <c r="S75" s="60" t="n">
        <f aca="false">S74*Utilisation!S88</f>
        <v>1448.16850588386</v>
      </c>
      <c r="T75" s="60" t="n">
        <f aca="false">T74*Utilisation!T88</f>
        <v>1448.16850588386</v>
      </c>
      <c r="U75" s="60" t="n">
        <f aca="false">U74*Utilisation!U88</f>
        <v>1448.16850588386</v>
      </c>
      <c r="V75" s="60" t="n">
        <f aca="false">V74*Utilisation!V88</f>
        <v>1448.16850588386</v>
      </c>
      <c r="W75" s="60" t="n">
        <f aca="false">W74*Utilisation!W88</f>
        <v>1448.16850588386</v>
      </c>
      <c r="X75" s="60" t="n">
        <f aca="false">X74*Utilisation!X88</f>
        <v>1448.16850588386</v>
      </c>
      <c r="Y75" s="60" t="n">
        <f aca="false">Y74*Utilisation!Y88</f>
        <v>1448.16850588386</v>
      </c>
      <c r="Z75" s="60" t="n">
        <f aca="false">Z74*Utilisation!Z88</f>
        <v>1448.16850588386</v>
      </c>
      <c r="AA75" s="60" t="n">
        <f aca="false">AA74*Utilisation!AA88</f>
        <v>1448.16850588386</v>
      </c>
      <c r="AB75" s="60" t="n">
        <f aca="false">AB74*Utilisation!AB88</f>
        <v>1448.16850588386</v>
      </c>
    </row>
    <row r="76" customFormat="false" ht="15" hidden="false" customHeight="false" outlineLevel="0" collapsed="false">
      <c r="A76" s="28" t="s">
        <v>864</v>
      </c>
      <c r="B76" s="58" t="s">
        <v>865</v>
      </c>
      <c r="C76" s="59" t="n">
        <f aca="false">SUM(E76:P76)</f>
        <v>222000</v>
      </c>
      <c r="D76" s="59" t="n">
        <f aca="false">SUM(Q76:AB76)</f>
        <v>196248</v>
      </c>
      <c r="E76" s="60" t="n">
        <f aca="false">IF(E$5="A",Inputs_Actuals!E34,E70)</f>
        <v>18500</v>
      </c>
      <c r="F76" s="60" t="n">
        <f aca="false">IF(F$5="A",Inputs_Actuals!F34,F70)</f>
        <v>18500</v>
      </c>
      <c r="G76" s="60" t="n">
        <f aca="false">IF(G$5="A",Inputs_Actuals!G34,G70)</f>
        <v>18500</v>
      </c>
      <c r="H76" s="60" t="n">
        <f aca="false">IF(H$5="A",Inputs_Actuals!H34,H70)</f>
        <v>18500</v>
      </c>
      <c r="I76" s="60" t="n">
        <f aca="false">IF(I$5="A",Inputs_Actuals!I34,I70)</f>
        <v>18500</v>
      </c>
      <c r="J76" s="60" t="n">
        <f aca="false">IF(J$5="A",Inputs_Actuals!J34,J70)</f>
        <v>18500</v>
      </c>
      <c r="K76" s="60" t="n">
        <f aca="false">IF(K$5="A",Inputs_Actuals!K34,K70)</f>
        <v>18500</v>
      </c>
      <c r="L76" s="60" t="n">
        <f aca="false">IF(L$5="A",Inputs_Actuals!L34,L70)</f>
        <v>18500</v>
      </c>
      <c r="M76" s="60" t="n">
        <f aca="false">IF(M$5="A",Inputs_Actuals!M34,M70)</f>
        <v>18500</v>
      </c>
      <c r="N76" s="60" t="n">
        <f aca="false">IF(N$5="A",Inputs_Actuals!N34,N70)</f>
        <v>18500</v>
      </c>
      <c r="O76" s="60" t="n">
        <f aca="false">IF(O$5="A",Inputs_Actuals!O34,O70)</f>
        <v>18500</v>
      </c>
      <c r="P76" s="60" t="n">
        <f aca="false">IF(P$5="A",Inputs_Actuals!P34,P70)</f>
        <v>18500</v>
      </c>
      <c r="Q76" s="60" t="n">
        <f aca="false">IF(Q$5="A",Inputs_Actuals!Q34,Q70)</f>
        <v>16354</v>
      </c>
      <c r="R76" s="60" t="n">
        <f aca="false">IF(R$5="A",Inputs_Actuals!R34,R70)</f>
        <v>16354</v>
      </c>
      <c r="S76" s="60" t="n">
        <f aca="false">IF(S$5="A",Inputs_Actuals!S34,S70)</f>
        <v>16354</v>
      </c>
      <c r="T76" s="60" t="n">
        <f aca="false">IF(T$5="A",Inputs_Actuals!T34,T70)</f>
        <v>16354</v>
      </c>
      <c r="U76" s="60" t="n">
        <f aca="false">IF(U$5="A",Inputs_Actuals!U34,U70)</f>
        <v>16354</v>
      </c>
      <c r="V76" s="60" t="n">
        <f aca="false">IF(V$5="A",Inputs_Actuals!V34,V70)</f>
        <v>16354</v>
      </c>
      <c r="W76" s="60" t="n">
        <f aca="false">IF(W$5="A",Inputs_Actuals!W34,W70)</f>
        <v>16354</v>
      </c>
      <c r="X76" s="60" t="n">
        <f aca="false">IF(X$5="A",Inputs_Actuals!X34,X70)</f>
        <v>16354</v>
      </c>
      <c r="Y76" s="60" t="n">
        <f aca="false">IF(Y$5="A",Inputs_Actuals!Y34,Y70)</f>
        <v>16354</v>
      </c>
      <c r="Z76" s="60" t="n">
        <f aca="false">IF(Z$5="A",Inputs_Actuals!Z34,Z70)</f>
        <v>16354</v>
      </c>
      <c r="AA76" s="60" t="n">
        <f aca="false">IF(AA$5="A",Inputs_Actuals!AA34,AA70)</f>
        <v>16354</v>
      </c>
      <c r="AB76" s="60" t="n">
        <f aca="false">IF(AB$5="A",Inputs_Actuals!AB34,AB70)</f>
        <v>16354</v>
      </c>
    </row>
    <row r="78" customFormat="false" ht="15" hidden="false" customHeight="false" outlineLevel="0" collapsed="false">
      <c r="A78" s="22" t="s">
        <v>875</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row>
    <row r="79" customFormat="false" ht="15" hidden="false" customHeight="false" outlineLevel="0" collapsed="false">
      <c r="A79" s="28" t="s">
        <v>852</v>
      </c>
      <c r="B79" s="58" t="s">
        <v>79</v>
      </c>
      <c r="C79" s="110" t="n">
        <f aca="false">AVERAGE(E79:P79)</f>
        <v>1</v>
      </c>
      <c r="D79" s="110" t="n">
        <f aca="false">AVERAGE(Q79:AB79)</f>
        <v>0.975</v>
      </c>
      <c r="E79" s="93" t="n">
        <f aca="false">IF(Assumptions!E$99&lt;Client_Register!$P$40,0,IF(Assumptions!E$99&lt;=Client_Register!$Q$40,1,Client_Register!$N$40))</f>
        <v>1</v>
      </c>
      <c r="F79" s="93" t="n">
        <f aca="false">IF(Assumptions!F$99&lt;Client_Register!$P$40,0,IF(Assumptions!F$99&lt;=Client_Register!$Q$40,1,Client_Register!$N$40))</f>
        <v>1</v>
      </c>
      <c r="G79" s="93" t="n">
        <f aca="false">IF(Assumptions!G$99&lt;Client_Register!$P$40,0,IF(Assumptions!G$99&lt;=Client_Register!$Q$40,1,Client_Register!$N$40))</f>
        <v>1</v>
      </c>
      <c r="H79" s="93" t="n">
        <f aca="false">IF(Assumptions!H$99&lt;Client_Register!$P$40,0,IF(Assumptions!H$99&lt;=Client_Register!$Q$40,1,Client_Register!$N$40))</f>
        <v>1</v>
      </c>
      <c r="I79" s="93" t="n">
        <f aca="false">IF(Assumptions!I$99&lt;Client_Register!$P$40,0,IF(Assumptions!I$99&lt;=Client_Register!$Q$40,1,Client_Register!$N$40))</f>
        <v>1</v>
      </c>
      <c r="J79" s="93" t="n">
        <f aca="false">IF(Assumptions!J$99&lt;Client_Register!$P$40,0,IF(Assumptions!J$99&lt;=Client_Register!$Q$40,1,Client_Register!$N$40))</f>
        <v>1</v>
      </c>
      <c r="K79" s="93" t="n">
        <f aca="false">IF(Assumptions!K$99&lt;Client_Register!$P$40,0,IF(Assumptions!K$99&lt;=Client_Register!$Q$40,1,Client_Register!$N$40))</f>
        <v>1</v>
      </c>
      <c r="L79" s="93" t="n">
        <f aca="false">IF(Assumptions!L$99&lt;Client_Register!$P$40,0,IF(Assumptions!L$99&lt;=Client_Register!$Q$40,1,Client_Register!$N$40))</f>
        <v>1</v>
      </c>
      <c r="M79" s="93" t="n">
        <f aca="false">IF(Assumptions!M$99&lt;Client_Register!$P$40,0,IF(Assumptions!M$99&lt;=Client_Register!$Q$40,1,Client_Register!$N$40))</f>
        <v>1</v>
      </c>
      <c r="N79" s="93" t="n">
        <f aca="false">IF(Assumptions!N$99&lt;Client_Register!$P$40,0,IF(Assumptions!N$99&lt;=Client_Register!$Q$40,1,Client_Register!$N$40))</f>
        <v>1</v>
      </c>
      <c r="O79" s="93" t="n">
        <f aca="false">IF(Assumptions!O$99&lt;Client_Register!$P$40,0,IF(Assumptions!O$99&lt;=Client_Register!$Q$40,1,Client_Register!$N$40))</f>
        <v>1</v>
      </c>
      <c r="P79" s="93" t="n">
        <f aca="false">IF(Assumptions!P$99&lt;Client_Register!$P$40,0,IF(Assumptions!P$99&lt;=Client_Register!$Q$40,1,Client_Register!$N$40))</f>
        <v>1</v>
      </c>
      <c r="Q79" s="93" t="n">
        <f aca="false">IF(Assumptions!Q$99&lt;Client_Register!$P$40,0,IF(Assumptions!Q$99&lt;=Client_Register!$Q$40,1,Client_Register!$N$40))</f>
        <v>1</v>
      </c>
      <c r="R79" s="93" t="n">
        <f aca="false">IF(Assumptions!R$99&lt;Client_Register!$P$40,0,IF(Assumptions!R$99&lt;=Client_Register!$Q$40,1,Client_Register!$N$40))</f>
        <v>1</v>
      </c>
      <c r="S79" s="93" t="n">
        <f aca="false">IF(Assumptions!S$99&lt;Client_Register!$P$40,0,IF(Assumptions!S$99&lt;=Client_Register!$Q$40,1,Client_Register!$N$40))</f>
        <v>1</v>
      </c>
      <c r="T79" s="93" t="n">
        <f aca="false">IF(Assumptions!T$99&lt;Client_Register!$P$40,0,IF(Assumptions!T$99&lt;=Client_Register!$Q$40,1,Client_Register!$N$40))</f>
        <v>1</v>
      </c>
      <c r="U79" s="93" t="n">
        <f aca="false">IF(Assumptions!U$99&lt;Client_Register!$P$40,0,IF(Assumptions!U$99&lt;=Client_Register!$Q$40,1,Client_Register!$N$40))</f>
        <v>1</v>
      </c>
      <c r="V79" s="93" t="n">
        <f aca="false">IF(Assumptions!V$99&lt;Client_Register!$P$40,0,IF(Assumptions!V$99&lt;=Client_Register!$Q$40,1,Client_Register!$N$40))</f>
        <v>1</v>
      </c>
      <c r="W79" s="93" t="n">
        <f aca="false">IF(Assumptions!W$99&lt;Client_Register!$P$40,0,IF(Assumptions!W$99&lt;=Client_Register!$Q$40,1,Client_Register!$N$40))</f>
        <v>1</v>
      </c>
      <c r="X79" s="93" t="n">
        <f aca="false">IF(Assumptions!X$99&lt;Client_Register!$P$40,0,IF(Assumptions!X$99&lt;=Client_Register!$Q$40,1,Client_Register!$N$40))</f>
        <v>1</v>
      </c>
      <c r="Y79" s="93" t="n">
        <f aca="false">IF(Assumptions!Y$99&lt;Client_Register!$P$40,0,IF(Assumptions!Y$99&lt;=Client_Register!$Q$40,1,Client_Register!$N$40))</f>
        <v>1</v>
      </c>
      <c r="Z79" s="93" t="n">
        <f aca="false">IF(Assumptions!Z$99&lt;Client_Register!$P$40,0,IF(Assumptions!Z$99&lt;=Client_Register!$Q$40,1,Client_Register!$N$40))</f>
        <v>0.9</v>
      </c>
      <c r="AA79" s="93" t="n">
        <f aca="false">IF(Assumptions!AA$99&lt;Client_Register!$P$40,0,IF(Assumptions!AA$99&lt;=Client_Register!$Q$40,1,Client_Register!$N$40))</f>
        <v>0.9</v>
      </c>
      <c r="AB79" s="93" t="n">
        <f aca="false">IF(Assumptions!AB$99&lt;Client_Register!$P$40,0,IF(Assumptions!AB$99&lt;=Client_Register!$Q$40,1,Client_Register!$N$40))</f>
        <v>0.9</v>
      </c>
    </row>
    <row r="80" customFormat="false" ht="15" hidden="false" customHeight="false" outlineLevel="0" collapsed="false">
      <c r="A80" s="28" t="s">
        <v>874</v>
      </c>
      <c r="B80" s="58" t="s">
        <v>854</v>
      </c>
      <c r="C80" s="59" t="n">
        <f aca="false">SUM(E80:P80)</f>
        <v>192000</v>
      </c>
      <c r="D80" s="59" t="n">
        <f aca="false">SUM(Q80:AB80)</f>
        <v>188928</v>
      </c>
      <c r="E80" s="60" t="n">
        <f aca="false">IF(E$5="A",Inputs_Actuals!E35,Client_Register!$G$40*E79*IF(Assumptions!E$99&gt;Client_Register!$Q$40,1+Assumptions!$F$114,1))</f>
        <v>16000</v>
      </c>
      <c r="F80" s="60" t="n">
        <f aca="false">IF(F$5="A",Inputs_Actuals!F35,Client_Register!$G$40*F79*IF(Assumptions!F$99&gt;Client_Register!$Q$40,1+Assumptions!$F$114,1))</f>
        <v>16000</v>
      </c>
      <c r="G80" s="60" t="n">
        <f aca="false">IF(G$5="A",Inputs_Actuals!G35,Client_Register!$G$40*G79*IF(Assumptions!G$99&gt;Client_Register!$Q$40,1+Assumptions!$F$114,1))</f>
        <v>16000</v>
      </c>
      <c r="H80" s="60" t="n">
        <f aca="false">IF(H$5="A",Inputs_Actuals!H35,Client_Register!$G$40*H79*IF(Assumptions!H$99&gt;Client_Register!$Q$40,1+Assumptions!$F$114,1))</f>
        <v>16000</v>
      </c>
      <c r="I80" s="60" t="n">
        <f aca="false">IF(I$5="A",Inputs_Actuals!I35,Client_Register!$G$40*I79*IF(Assumptions!I$99&gt;Client_Register!$Q$40,1+Assumptions!$F$114,1))</f>
        <v>16000</v>
      </c>
      <c r="J80" s="60" t="n">
        <f aca="false">IF(J$5="A",Inputs_Actuals!J35,Client_Register!$G$40*J79*IF(Assumptions!J$99&gt;Client_Register!$Q$40,1+Assumptions!$F$114,1))</f>
        <v>16000</v>
      </c>
      <c r="K80" s="60" t="n">
        <f aca="false">IF(K$5="A",Inputs_Actuals!K35,Client_Register!$G$40*K79*IF(Assumptions!K$99&gt;Client_Register!$Q$40,1+Assumptions!$F$114,1))</f>
        <v>16000</v>
      </c>
      <c r="L80" s="60" t="n">
        <f aca="false">IF(L$5="A",Inputs_Actuals!L35,Client_Register!$G$40*L79*IF(Assumptions!L$99&gt;Client_Register!$Q$40,1+Assumptions!$F$114,1))</f>
        <v>16000</v>
      </c>
      <c r="M80" s="60" t="n">
        <f aca="false">IF(M$5="A",Inputs_Actuals!M35,Client_Register!$G$40*M79*IF(Assumptions!M$99&gt;Client_Register!$Q$40,1+Assumptions!$F$114,1))</f>
        <v>16000</v>
      </c>
      <c r="N80" s="60" t="n">
        <f aca="false">IF(N$5="A",Inputs_Actuals!N35,Client_Register!$G$40*N79*IF(Assumptions!N$99&gt;Client_Register!$Q$40,1+Assumptions!$F$114,1))</f>
        <v>16000</v>
      </c>
      <c r="O80" s="60" t="n">
        <f aca="false">IF(O$5="A",Inputs_Actuals!O35,Client_Register!$G$40*O79*IF(Assumptions!O$99&gt;Client_Register!$Q$40,1+Assumptions!$F$114,1))</f>
        <v>16000</v>
      </c>
      <c r="P80" s="60" t="n">
        <f aca="false">IF(P$5="A",Inputs_Actuals!P35,Client_Register!$G$40*P79*IF(Assumptions!P$99&gt;Client_Register!$Q$40,1+Assumptions!$F$114,1))</f>
        <v>16000</v>
      </c>
      <c r="Q80" s="60" t="n">
        <f aca="false">IF(Q$5="A",Inputs_Actuals!Q35,Client_Register!$G$40*Q79*IF(Assumptions!Q$99&gt;Client_Register!$Q$40,1+Assumptions!$F$114,1))</f>
        <v>16000</v>
      </c>
      <c r="R80" s="60" t="n">
        <f aca="false">IF(R$5="A",Inputs_Actuals!R35,Client_Register!$G$40*R79*IF(Assumptions!R$99&gt;Client_Register!$Q$40,1+Assumptions!$F$114,1))</f>
        <v>16000</v>
      </c>
      <c r="S80" s="60" t="n">
        <f aca="false">IF(S$5="A",Inputs_Actuals!S35,Client_Register!$G$40*S79*IF(Assumptions!S$99&gt;Client_Register!$Q$40,1+Assumptions!$F$114,1))</f>
        <v>16000</v>
      </c>
      <c r="T80" s="60" t="n">
        <f aca="false">IF(T$5="A",Inputs_Actuals!T35,Client_Register!$G$40*T79*IF(Assumptions!T$99&gt;Client_Register!$Q$40,1+Assumptions!$F$114,1))</f>
        <v>16000</v>
      </c>
      <c r="U80" s="60" t="n">
        <f aca="false">IF(U$5="A",Inputs_Actuals!U35,Client_Register!$G$40*U79*IF(Assumptions!U$99&gt;Client_Register!$Q$40,1+Assumptions!$F$114,1))</f>
        <v>16000</v>
      </c>
      <c r="V80" s="60" t="n">
        <f aca="false">IF(V$5="A",Inputs_Actuals!V35,Client_Register!$G$40*V79*IF(Assumptions!V$99&gt;Client_Register!$Q$40,1+Assumptions!$F$114,1))</f>
        <v>16000</v>
      </c>
      <c r="W80" s="60" t="n">
        <f aca="false">IF(W$5="A",Inputs_Actuals!W35,Client_Register!$G$40*W79*IF(Assumptions!W$99&gt;Client_Register!$Q$40,1+Assumptions!$F$114,1))</f>
        <v>16000</v>
      </c>
      <c r="X80" s="60" t="n">
        <f aca="false">IF(X$5="A",Inputs_Actuals!X35,Client_Register!$G$40*X79*IF(Assumptions!X$99&gt;Client_Register!$Q$40,1+Assumptions!$F$114,1))</f>
        <v>16000</v>
      </c>
      <c r="Y80" s="60" t="n">
        <f aca="false">IF(Y$5="A",Inputs_Actuals!Y35,Client_Register!$G$40*Y79*IF(Assumptions!Y$99&gt;Client_Register!$Q$40,1+Assumptions!$F$114,1))</f>
        <v>16000</v>
      </c>
      <c r="Z80" s="60" t="n">
        <f aca="false">IF(Z$5="A",Inputs_Actuals!Z35,Client_Register!$G$40*Z79*IF(Assumptions!Z$99&gt;Client_Register!$Q$40,1+Assumptions!$F$114,1))</f>
        <v>14976</v>
      </c>
      <c r="AA80" s="60" t="n">
        <f aca="false">IF(AA$5="A",Inputs_Actuals!AA35,Client_Register!$G$40*AA79*IF(Assumptions!AA$99&gt;Client_Register!$Q$40,1+Assumptions!$F$114,1))</f>
        <v>14976</v>
      </c>
      <c r="AB80" s="60" t="n">
        <f aca="false">IF(AB$5="A",Inputs_Actuals!AB35,Client_Register!$G$40*AB79*IF(Assumptions!AB$99&gt;Client_Register!$Q$40,1+Assumptions!$F$114,1))</f>
        <v>14976</v>
      </c>
    </row>
    <row r="81" customFormat="false" ht="15" hidden="false" customHeight="false" outlineLevel="0" collapsed="false">
      <c r="A81" s="28" t="s">
        <v>855</v>
      </c>
      <c r="B81" s="58" t="s">
        <v>856</v>
      </c>
      <c r="C81" s="59" t="n">
        <f aca="false">SUM(E81:P81)</f>
        <v>192000</v>
      </c>
      <c r="D81" s="59" t="n">
        <f aca="false">SUM(Q81:AB81)</f>
        <v>188928</v>
      </c>
      <c r="E81" s="71" t="n">
        <f aca="false">E80/1</f>
        <v>16000</v>
      </c>
      <c r="F81" s="71" t="n">
        <f aca="false">F80/1</f>
        <v>16000</v>
      </c>
      <c r="G81" s="71" t="n">
        <f aca="false">G80/1</f>
        <v>16000</v>
      </c>
      <c r="H81" s="71" t="n">
        <f aca="false">H80/1</f>
        <v>16000</v>
      </c>
      <c r="I81" s="71" t="n">
        <f aca="false">I80/1</f>
        <v>16000</v>
      </c>
      <c r="J81" s="71" t="n">
        <f aca="false">J80/1</f>
        <v>16000</v>
      </c>
      <c r="K81" s="71" t="n">
        <f aca="false">K80/1</f>
        <v>16000</v>
      </c>
      <c r="L81" s="71" t="n">
        <f aca="false">L80/1</f>
        <v>16000</v>
      </c>
      <c r="M81" s="71" t="n">
        <f aca="false">M80/1</f>
        <v>16000</v>
      </c>
      <c r="N81" s="71" t="n">
        <f aca="false">N80/1</f>
        <v>16000</v>
      </c>
      <c r="O81" s="71" t="n">
        <f aca="false">O80/1</f>
        <v>16000</v>
      </c>
      <c r="P81" s="71" t="n">
        <f aca="false">P80/1</f>
        <v>16000</v>
      </c>
      <c r="Q81" s="71" t="n">
        <f aca="false">Q80/1</f>
        <v>16000</v>
      </c>
      <c r="R81" s="71" t="n">
        <f aca="false">R80/1</f>
        <v>16000</v>
      </c>
      <c r="S81" s="71" t="n">
        <f aca="false">S80/1</f>
        <v>16000</v>
      </c>
      <c r="T81" s="71" t="n">
        <f aca="false">T80/1</f>
        <v>16000</v>
      </c>
      <c r="U81" s="71" t="n">
        <f aca="false">U80/1</f>
        <v>16000</v>
      </c>
      <c r="V81" s="71" t="n">
        <f aca="false">V80/1</f>
        <v>16000</v>
      </c>
      <c r="W81" s="71" t="n">
        <f aca="false">W80/1</f>
        <v>16000</v>
      </c>
      <c r="X81" s="71" t="n">
        <f aca="false">X80/1</f>
        <v>16000</v>
      </c>
      <c r="Y81" s="71" t="n">
        <f aca="false">Y80/1</f>
        <v>16000</v>
      </c>
      <c r="Z81" s="71" t="n">
        <f aca="false">Z80/1</f>
        <v>14976</v>
      </c>
      <c r="AA81" s="71" t="n">
        <f aca="false">AA80/1</f>
        <v>14976</v>
      </c>
      <c r="AB81" s="71" t="n">
        <f aca="false">AB80/1</f>
        <v>14976</v>
      </c>
    </row>
    <row r="82" customFormat="false" ht="15" hidden="false" customHeight="false" outlineLevel="0" collapsed="false">
      <c r="A82" s="28" t="s">
        <v>857</v>
      </c>
      <c r="B82" s="58" t="s">
        <v>858</v>
      </c>
      <c r="C82" s="66" t="n">
        <f aca="false">SUM(E82:P82)</f>
        <v>1980</v>
      </c>
      <c r="D82" s="66" t="n">
        <f aca="false">SUM(Q82:AB82)</f>
        <v>1930.5</v>
      </c>
      <c r="E82" s="67" t="n">
        <f aca="false">Client_Register!$H$40*E79</f>
        <v>165</v>
      </c>
      <c r="F82" s="67" t="n">
        <f aca="false">Client_Register!$H$40*F79</f>
        <v>165</v>
      </c>
      <c r="G82" s="67" t="n">
        <f aca="false">Client_Register!$H$40*G79</f>
        <v>165</v>
      </c>
      <c r="H82" s="67" t="n">
        <f aca="false">Client_Register!$H$40*H79</f>
        <v>165</v>
      </c>
      <c r="I82" s="67" t="n">
        <f aca="false">Client_Register!$H$40*I79</f>
        <v>165</v>
      </c>
      <c r="J82" s="67" t="n">
        <f aca="false">Client_Register!$H$40*J79</f>
        <v>165</v>
      </c>
      <c r="K82" s="67" t="n">
        <f aca="false">Client_Register!$H$40*K79</f>
        <v>165</v>
      </c>
      <c r="L82" s="67" t="n">
        <f aca="false">Client_Register!$H$40*L79</f>
        <v>165</v>
      </c>
      <c r="M82" s="67" t="n">
        <f aca="false">Client_Register!$H$40*M79</f>
        <v>165</v>
      </c>
      <c r="N82" s="67" t="n">
        <f aca="false">Client_Register!$H$40*N79</f>
        <v>165</v>
      </c>
      <c r="O82" s="67" t="n">
        <f aca="false">Client_Register!$H$40*O79</f>
        <v>165</v>
      </c>
      <c r="P82" s="67" t="n">
        <f aca="false">Client_Register!$H$40*P79</f>
        <v>165</v>
      </c>
      <c r="Q82" s="67" t="n">
        <f aca="false">Client_Register!$H$40*Q79</f>
        <v>165</v>
      </c>
      <c r="R82" s="67" t="n">
        <f aca="false">Client_Register!$H$40*R79</f>
        <v>165</v>
      </c>
      <c r="S82" s="67" t="n">
        <f aca="false">Client_Register!$H$40*S79</f>
        <v>165</v>
      </c>
      <c r="T82" s="67" t="n">
        <f aca="false">Client_Register!$H$40*T79</f>
        <v>165</v>
      </c>
      <c r="U82" s="67" t="n">
        <f aca="false">Client_Register!$H$40*U79</f>
        <v>165</v>
      </c>
      <c r="V82" s="67" t="n">
        <f aca="false">Client_Register!$H$40*V79</f>
        <v>165</v>
      </c>
      <c r="W82" s="67" t="n">
        <f aca="false">Client_Register!$H$40*W79</f>
        <v>165</v>
      </c>
      <c r="X82" s="67" t="n">
        <f aca="false">Client_Register!$H$40*X79</f>
        <v>165</v>
      </c>
      <c r="Y82" s="67" t="n">
        <f aca="false">Client_Register!$H$40*Y79</f>
        <v>165</v>
      </c>
      <c r="Z82" s="67" t="n">
        <f aca="false">Client_Register!$H$40*Z79</f>
        <v>148.5</v>
      </c>
      <c r="AA82" s="67" t="n">
        <f aca="false">Client_Register!$H$40*AA79</f>
        <v>148.5</v>
      </c>
      <c r="AB82" s="67" t="n">
        <f aca="false">Client_Register!$H$40*AB79</f>
        <v>148.5</v>
      </c>
    </row>
    <row r="83" customFormat="false" ht="15" hidden="false" customHeight="false" outlineLevel="0" collapsed="false">
      <c r="A83" s="28" t="s">
        <v>802</v>
      </c>
      <c r="B83" s="58" t="s">
        <v>859</v>
      </c>
      <c r="C83" s="66" t="n">
        <f aca="false">SUM(E83:P83)</f>
        <v>2068.695</v>
      </c>
      <c r="D83" s="66" t="n">
        <f aca="false">SUM(Q83:AB83)</f>
        <v>1997.760375</v>
      </c>
      <c r="E83" s="67" t="n">
        <f aca="false">IF(E$5="A",Inputs_Actuals!E36,E82*(1+Client_Register!$S$40))</f>
        <v>178.1</v>
      </c>
      <c r="F83" s="67" t="n">
        <f aca="false">IF(F$5="A",Inputs_Actuals!F36,F82*(1+Client_Register!$S$40))</f>
        <v>172.8</v>
      </c>
      <c r="G83" s="67" t="n">
        <f aca="false">IF(G$5="A",Inputs_Actuals!G36,G82*(1+Client_Register!$S$40))</f>
        <v>166.2</v>
      </c>
      <c r="H83" s="67" t="n">
        <f aca="false">IF(H$5="A",Inputs_Actuals!H36,H82*(1+Client_Register!$S$40))</f>
        <v>163.9</v>
      </c>
      <c r="I83" s="67" t="n">
        <f aca="false">IF(I$5="A",Inputs_Actuals!I36,I82*(1+Client_Register!$S$40))</f>
        <v>177</v>
      </c>
      <c r="J83" s="67" t="n">
        <f aca="false">IF(J$5="A",Inputs_Actuals!J36,J82*(1+Client_Register!$S$40))</f>
        <v>178.5</v>
      </c>
      <c r="K83" s="67" t="n">
        <f aca="false">IF(K$5="A",Inputs_Actuals!K36,K82*(1+Client_Register!$S$40))</f>
        <v>180.7</v>
      </c>
      <c r="L83" s="67" t="n">
        <f aca="false">IF(L$5="A",Inputs_Actuals!L36,L82*(1+Client_Register!$S$40))</f>
        <v>168.5</v>
      </c>
      <c r="M83" s="67" t="n">
        <f aca="false">IF(M$5="A",Inputs_Actuals!M36,M82*(1+Client_Register!$S$40))</f>
        <v>170.74875</v>
      </c>
      <c r="N83" s="67" t="n">
        <f aca="false">IF(N$5="A",Inputs_Actuals!N36,N82*(1+Client_Register!$S$40))</f>
        <v>170.74875</v>
      </c>
      <c r="O83" s="67" t="n">
        <f aca="false">IF(O$5="A",Inputs_Actuals!O36,O82*(1+Client_Register!$S$40))</f>
        <v>170.74875</v>
      </c>
      <c r="P83" s="67" t="n">
        <f aca="false">IF(P$5="A",Inputs_Actuals!P36,P82*(1+Client_Register!$S$40))</f>
        <v>170.74875</v>
      </c>
      <c r="Q83" s="67" t="n">
        <f aca="false">IF(Q$5="A",Inputs_Actuals!Q36,Q82*(1+Client_Register!$S$40))</f>
        <v>170.74875</v>
      </c>
      <c r="R83" s="67" t="n">
        <f aca="false">IF(R$5="A",Inputs_Actuals!R36,R82*(1+Client_Register!$S$40))</f>
        <v>170.74875</v>
      </c>
      <c r="S83" s="67" t="n">
        <f aca="false">IF(S$5="A",Inputs_Actuals!S36,S82*(1+Client_Register!$S$40))</f>
        <v>170.74875</v>
      </c>
      <c r="T83" s="67" t="n">
        <f aca="false">IF(T$5="A",Inputs_Actuals!T36,T82*(1+Client_Register!$S$40))</f>
        <v>170.74875</v>
      </c>
      <c r="U83" s="67" t="n">
        <f aca="false">IF(U$5="A",Inputs_Actuals!U36,U82*(1+Client_Register!$S$40))</f>
        <v>170.74875</v>
      </c>
      <c r="V83" s="67" t="n">
        <f aca="false">IF(V$5="A",Inputs_Actuals!V36,V82*(1+Client_Register!$S$40))</f>
        <v>170.74875</v>
      </c>
      <c r="W83" s="67" t="n">
        <f aca="false">IF(W$5="A",Inputs_Actuals!W36,W82*(1+Client_Register!$S$40))</f>
        <v>170.74875</v>
      </c>
      <c r="X83" s="67" t="n">
        <f aca="false">IF(X$5="A",Inputs_Actuals!X36,X82*(1+Client_Register!$S$40))</f>
        <v>170.74875</v>
      </c>
      <c r="Y83" s="67" t="n">
        <f aca="false">IF(Y$5="A",Inputs_Actuals!Y36,Y82*(1+Client_Register!$S$40))</f>
        <v>170.74875</v>
      </c>
      <c r="Z83" s="67" t="n">
        <f aca="false">IF(Z$5="A",Inputs_Actuals!Z36,Z82*(1+Client_Register!$S$40))</f>
        <v>153.673875</v>
      </c>
      <c r="AA83" s="67" t="n">
        <f aca="false">IF(AA$5="A",Inputs_Actuals!AA36,AA82*(1+Client_Register!$S$40))</f>
        <v>153.673875</v>
      </c>
      <c r="AB83" s="67" t="n">
        <f aca="false">IF(AB$5="A",Inputs_Actuals!AB36,AB82*(1+Client_Register!$S$40))</f>
        <v>153.673875</v>
      </c>
    </row>
    <row r="84" customFormat="false" ht="15" hidden="false" customHeight="false" outlineLevel="0" collapsed="false">
      <c r="A84" s="28" t="s">
        <v>860</v>
      </c>
      <c r="B84" s="58" t="s">
        <v>861</v>
      </c>
      <c r="C84" s="66" t="n">
        <f aca="false">SUM(E84:P84)</f>
        <v>88.6950000000001</v>
      </c>
      <c r="D84" s="66" t="n">
        <f aca="false">SUM(Q84:AB84)</f>
        <v>67.2603750000003</v>
      </c>
      <c r="E84" s="72" t="n">
        <f aca="false">E83-E82</f>
        <v>13.1</v>
      </c>
      <c r="F84" s="72" t="n">
        <f aca="false">F83-F82</f>
        <v>7.80000000000001</v>
      </c>
      <c r="G84" s="72" t="n">
        <f aca="false">G83-G82</f>
        <v>1.19999999999999</v>
      </c>
      <c r="H84" s="72" t="n">
        <f aca="false">H83-H82</f>
        <v>-1.09999999999999</v>
      </c>
      <c r="I84" s="72" t="n">
        <f aca="false">I83-I82</f>
        <v>12</v>
      </c>
      <c r="J84" s="72" t="n">
        <f aca="false">J83-J82</f>
        <v>13.5</v>
      </c>
      <c r="K84" s="72" t="n">
        <f aca="false">K83-K82</f>
        <v>15.7</v>
      </c>
      <c r="L84" s="72" t="n">
        <f aca="false">L83-L82</f>
        <v>3.5</v>
      </c>
      <c r="M84" s="72" t="n">
        <f aca="false">M83-M82</f>
        <v>5.74875000000003</v>
      </c>
      <c r="N84" s="72" t="n">
        <f aca="false">N83-N82</f>
        <v>5.74875000000003</v>
      </c>
      <c r="O84" s="72" t="n">
        <f aca="false">O83-O82</f>
        <v>5.74875000000003</v>
      </c>
      <c r="P84" s="72" t="n">
        <f aca="false">P83-P82</f>
        <v>5.74875000000003</v>
      </c>
      <c r="Q84" s="72" t="n">
        <f aca="false">Q83-Q82</f>
        <v>5.74875000000003</v>
      </c>
      <c r="R84" s="72" t="n">
        <f aca="false">R83-R82</f>
        <v>5.74875000000003</v>
      </c>
      <c r="S84" s="72" t="n">
        <f aca="false">S83-S82</f>
        <v>5.74875000000003</v>
      </c>
      <c r="T84" s="72" t="n">
        <f aca="false">T83-T82</f>
        <v>5.74875000000003</v>
      </c>
      <c r="U84" s="72" t="n">
        <f aca="false">U83-U82</f>
        <v>5.74875000000003</v>
      </c>
      <c r="V84" s="72" t="n">
        <f aca="false">V83-V82</f>
        <v>5.74875000000003</v>
      </c>
      <c r="W84" s="72" t="n">
        <f aca="false">W83-W82</f>
        <v>5.74875000000003</v>
      </c>
      <c r="X84" s="72" t="n">
        <f aca="false">X83-X82</f>
        <v>5.74875000000003</v>
      </c>
      <c r="Y84" s="72" t="n">
        <f aca="false">Y83-Y82</f>
        <v>5.74875000000003</v>
      </c>
      <c r="Z84" s="72" t="n">
        <f aca="false">Z83-Z82</f>
        <v>5.17387500000001</v>
      </c>
      <c r="AA84" s="72" t="n">
        <f aca="false">AA83-AA82</f>
        <v>5.17387500000001</v>
      </c>
      <c r="AB84" s="72" t="n">
        <f aca="false">AB83-AB82</f>
        <v>5.17387500000001</v>
      </c>
    </row>
    <row r="85" customFormat="false" ht="15" hidden="false" customHeight="false" outlineLevel="0" collapsed="false">
      <c r="A85" s="28" t="s">
        <v>862</v>
      </c>
      <c r="B85" s="58" t="s">
        <v>863</v>
      </c>
      <c r="C85" s="59" t="n">
        <f aca="false">SUM(E85:P85)</f>
        <v>4139.52078241658</v>
      </c>
      <c r="D85" s="59" t="n">
        <f aca="false">SUM(Q85:AB85)</f>
        <v>3280.39774003255</v>
      </c>
      <c r="E85" s="60" t="n">
        <f aca="false">E84*Utilisation!E89</f>
        <v>611.395481703107</v>
      </c>
      <c r="F85" s="60" t="n">
        <f aca="false">F84*Utilisation!F89</f>
        <v>364.037004372843</v>
      </c>
      <c r="G85" s="60" t="n">
        <f aca="false">G84*Utilisation!G89</f>
        <v>56.0056929804368</v>
      </c>
      <c r="H85" s="60" t="n">
        <f aca="false">H84*Utilisation!H89</f>
        <v>-51.3385518987339</v>
      </c>
      <c r="I85" s="60" t="n">
        <f aca="false">I84*Utilisation!I89</f>
        <v>560.056929804373</v>
      </c>
      <c r="J85" s="60" t="n">
        <f aca="false">J84*Utilisation!J89</f>
        <v>630.06404602992</v>
      </c>
      <c r="K85" s="60" t="n">
        <f aca="false">K84*Utilisation!K89</f>
        <v>732.741149827387</v>
      </c>
      <c r="L85" s="60" t="n">
        <f aca="false">L84*Utilisation!L89</f>
        <v>163.349937859609</v>
      </c>
      <c r="M85" s="60" t="n">
        <f aca="false">M84*Utilisation!M89</f>
        <v>268.302272934409</v>
      </c>
      <c r="N85" s="60" t="n">
        <f aca="false">N84*Utilisation!N89</f>
        <v>268.302272934409</v>
      </c>
      <c r="O85" s="60" t="n">
        <f aca="false">O84*Utilisation!O89</f>
        <v>268.302272934409</v>
      </c>
      <c r="P85" s="60" t="n">
        <f aca="false">P84*Utilisation!P89</f>
        <v>268.302272934409</v>
      </c>
      <c r="Q85" s="60" t="n">
        <f aca="false">Q84*Utilisation!Q89</f>
        <v>280.375875216457</v>
      </c>
      <c r="R85" s="60" t="n">
        <f aca="false">R84*Utilisation!R89</f>
        <v>280.375875216457</v>
      </c>
      <c r="S85" s="60" t="n">
        <f aca="false">S84*Utilisation!S89</f>
        <v>280.375875216457</v>
      </c>
      <c r="T85" s="60" t="n">
        <f aca="false">T84*Utilisation!T89</f>
        <v>280.375875216457</v>
      </c>
      <c r="U85" s="60" t="n">
        <f aca="false">U84*Utilisation!U89</f>
        <v>280.375875216457</v>
      </c>
      <c r="V85" s="60" t="n">
        <f aca="false">V84*Utilisation!V89</f>
        <v>280.375875216457</v>
      </c>
      <c r="W85" s="60" t="n">
        <f aca="false">W84*Utilisation!W89</f>
        <v>280.375875216457</v>
      </c>
      <c r="X85" s="60" t="n">
        <f aca="false">X84*Utilisation!X89</f>
        <v>280.375875216457</v>
      </c>
      <c r="Y85" s="60" t="n">
        <f aca="false">Y84*Utilisation!Y89</f>
        <v>280.375875216457</v>
      </c>
      <c r="Z85" s="60" t="n">
        <f aca="false">Z84*Utilisation!Z89</f>
        <v>252.338287694811</v>
      </c>
      <c r="AA85" s="60" t="n">
        <f aca="false">AA84*Utilisation!AA89</f>
        <v>252.338287694811</v>
      </c>
      <c r="AB85" s="60" t="n">
        <f aca="false">AB84*Utilisation!AB89</f>
        <v>252.338287694811</v>
      </c>
    </row>
    <row r="86" customFormat="false" ht="15" hidden="false" customHeight="false" outlineLevel="0" collapsed="false">
      <c r="A86" s="28" t="s">
        <v>867</v>
      </c>
      <c r="B86" s="58" t="s">
        <v>865</v>
      </c>
      <c r="C86" s="59" t="n">
        <f aca="false">SUM(E86:P86)</f>
        <v>192000</v>
      </c>
      <c r="D86" s="59" t="n">
        <f aca="false">SUM(Q86:AB86)</f>
        <v>188928</v>
      </c>
      <c r="E86" s="60" t="n">
        <f aca="false">IF(E$5="A",Inputs_Actuals!E37,IF(MOD(Assumptions!E$102,3)=1,E80+F80+G80,0))</f>
        <v>48000</v>
      </c>
      <c r="F86" s="60" t="n">
        <f aca="false">IF(F$5="A",Inputs_Actuals!F37,IF(MOD(Assumptions!F$102,3)=1,F80+G80+H80,0))</f>
        <v>0</v>
      </c>
      <c r="G86" s="60" t="n">
        <f aca="false">IF(G$5="A",Inputs_Actuals!G37,IF(MOD(Assumptions!G$102,3)=1,G80+H80+I80,0))</f>
        <v>0</v>
      </c>
      <c r="H86" s="60" t="n">
        <f aca="false">IF(H$5="A",Inputs_Actuals!H37,IF(MOD(Assumptions!H$102,3)=1,H80+I80+J80,0))</f>
        <v>48000</v>
      </c>
      <c r="I86" s="60" t="n">
        <f aca="false">IF(I$5="A",Inputs_Actuals!I37,IF(MOD(Assumptions!I$102,3)=1,I80+J80+K80,0))</f>
        <v>0</v>
      </c>
      <c r="J86" s="60" t="n">
        <f aca="false">IF(J$5="A",Inputs_Actuals!J37,IF(MOD(Assumptions!J$102,3)=1,J80+K80+L80,0))</f>
        <v>0</v>
      </c>
      <c r="K86" s="60" t="n">
        <f aca="false">IF(K$5="A",Inputs_Actuals!K37,IF(MOD(Assumptions!K$102,3)=1,K80+L80+M80,0))</f>
        <v>48000</v>
      </c>
      <c r="L86" s="60" t="n">
        <f aca="false">IF(L$5="A",Inputs_Actuals!L37,IF(MOD(Assumptions!L$102,3)=1,L80+M80+N80,0))</f>
        <v>0</v>
      </c>
      <c r="M86" s="60" t="n">
        <f aca="false">IF(M$5="A",Inputs_Actuals!M37,IF(MOD(Assumptions!M$102,3)=1,M80+N80+O80,0))</f>
        <v>0</v>
      </c>
      <c r="N86" s="60" t="n">
        <f aca="false">IF(N$5="A",Inputs_Actuals!N37,IF(MOD(Assumptions!N$102,3)=1,N80+O80+P80,0))</f>
        <v>48000</v>
      </c>
      <c r="O86" s="60" t="n">
        <f aca="false">IF(O$5="A",Inputs_Actuals!O37,IF(MOD(Assumptions!O$102,3)=1,O80+P80+Q80,0))</f>
        <v>0</v>
      </c>
      <c r="P86" s="60" t="n">
        <f aca="false">IF(P$5="A",Inputs_Actuals!P37,IF(MOD(Assumptions!P$102,3)=1,P80+Q80+R80,0))</f>
        <v>0</v>
      </c>
      <c r="Q86" s="60" t="n">
        <f aca="false">IF(Q$5="A",Inputs_Actuals!Q37,IF(MOD(Assumptions!Q$102,3)=1,Q80+R80+S80,0))</f>
        <v>48000</v>
      </c>
      <c r="R86" s="60" t="n">
        <f aca="false">IF(R$5="A",Inputs_Actuals!R37,IF(MOD(Assumptions!R$102,3)=1,R80+S80+T80,0))</f>
        <v>0</v>
      </c>
      <c r="S86" s="60" t="n">
        <f aca="false">IF(S$5="A",Inputs_Actuals!S37,IF(MOD(Assumptions!S$102,3)=1,S80+T80+U80,0))</f>
        <v>0</v>
      </c>
      <c r="T86" s="60" t="n">
        <f aca="false">IF(T$5="A",Inputs_Actuals!T37,IF(MOD(Assumptions!T$102,3)=1,T80+U80+V80,0))</f>
        <v>48000</v>
      </c>
      <c r="U86" s="60" t="n">
        <f aca="false">IF(U$5="A",Inputs_Actuals!U37,IF(MOD(Assumptions!U$102,3)=1,U80+V80+W80,0))</f>
        <v>0</v>
      </c>
      <c r="V86" s="60" t="n">
        <f aca="false">IF(V$5="A",Inputs_Actuals!V37,IF(MOD(Assumptions!V$102,3)=1,V80+W80+X80,0))</f>
        <v>0</v>
      </c>
      <c r="W86" s="60" t="n">
        <f aca="false">IF(W$5="A",Inputs_Actuals!W37,IF(MOD(Assumptions!W$102,3)=1,W80+X80+Y80,0))</f>
        <v>48000</v>
      </c>
      <c r="X86" s="60" t="n">
        <f aca="false">IF(X$5="A",Inputs_Actuals!X37,IF(MOD(Assumptions!X$102,3)=1,X80+Y80+Z80,0))</f>
        <v>0</v>
      </c>
      <c r="Y86" s="60" t="n">
        <f aca="false">IF(Y$5="A",Inputs_Actuals!Y37,IF(MOD(Assumptions!Y$102,3)=1,Y80+Z80+AA80,0))</f>
        <v>0</v>
      </c>
      <c r="Z86" s="60" t="n">
        <f aca="false">IF(Z$5="A",Inputs_Actuals!Z37,IF(MOD(Assumptions!Z$102,3)=1,Z80+AA80+AB80,0))</f>
        <v>44928</v>
      </c>
      <c r="AA86" s="60" t="n">
        <f aca="false">IF(AA$5="A",Inputs_Actuals!AA37,IF(MOD(Assumptions!AA$102,3)=1,AA80+AB80,0))</f>
        <v>0</v>
      </c>
      <c r="AB86" s="60" t="n">
        <f aca="false">IF(AB$5="A",Inputs_Actuals!AB37,IF(MOD(Assumptions!AB$102,3)=1,AB80,0))</f>
        <v>0</v>
      </c>
    </row>
    <row r="88" customFormat="false" ht="15" hidden="false" customHeight="false" outlineLevel="0" collapsed="false">
      <c r="A88" s="22" t="s">
        <v>876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row>
    <row r="89" customFormat="false" ht="15" hidden="false" customHeight="false" outlineLevel="0" collapsed="false">
      <c r="A89" s="28" t="s">
        <v>852</v>
      </c>
      <c r="B89" s="58" t="s">
        <v>79</v>
      </c>
      <c r="C89" s="110" t="n">
        <f aca="false">AVERAGE(E89:P89)</f>
        <v>1</v>
      </c>
      <c r="D89" s="110" t="n">
        <f aca="false">AVERAGE(Q89:AB89)</f>
        <v>0.875</v>
      </c>
      <c r="E89" s="93" t="n">
        <f aca="false">IF(Assumptions!E$99&lt;Client_Register!$P$41,0,IF(Assumptions!E$99&lt;=Client_Register!$Q$41,1,Client_Register!$N$41))</f>
        <v>1</v>
      </c>
      <c r="F89" s="93" t="n">
        <f aca="false">IF(Assumptions!F$99&lt;Client_Register!$P$41,0,IF(Assumptions!F$99&lt;=Client_Register!$Q$41,1,Client_Register!$N$41))</f>
        <v>1</v>
      </c>
      <c r="G89" s="93" t="n">
        <f aca="false">IF(Assumptions!G$99&lt;Client_Register!$P$41,0,IF(Assumptions!G$99&lt;=Client_Register!$Q$41,1,Client_Register!$N$41))</f>
        <v>1</v>
      </c>
      <c r="H89" s="93" t="n">
        <f aca="false">IF(Assumptions!H$99&lt;Client_Register!$P$41,0,IF(Assumptions!H$99&lt;=Client_Register!$Q$41,1,Client_Register!$N$41))</f>
        <v>1</v>
      </c>
      <c r="I89" s="93" t="n">
        <f aca="false">IF(Assumptions!I$99&lt;Client_Register!$P$41,0,IF(Assumptions!I$99&lt;=Client_Register!$Q$41,1,Client_Register!$N$41))</f>
        <v>1</v>
      </c>
      <c r="J89" s="93" t="n">
        <f aca="false">IF(Assumptions!J$99&lt;Client_Register!$P$41,0,IF(Assumptions!J$99&lt;=Client_Register!$Q$41,1,Client_Register!$N$41))</f>
        <v>1</v>
      </c>
      <c r="K89" s="93" t="n">
        <f aca="false">IF(Assumptions!K$99&lt;Client_Register!$P$41,0,IF(Assumptions!K$99&lt;=Client_Register!$Q$41,1,Client_Register!$N$41))</f>
        <v>1</v>
      </c>
      <c r="L89" s="93" t="n">
        <f aca="false">IF(Assumptions!L$99&lt;Client_Register!$P$41,0,IF(Assumptions!L$99&lt;=Client_Register!$Q$41,1,Client_Register!$N$41))</f>
        <v>1</v>
      </c>
      <c r="M89" s="93" t="n">
        <f aca="false">IF(Assumptions!M$99&lt;Client_Register!$P$41,0,IF(Assumptions!M$99&lt;=Client_Register!$Q$41,1,Client_Register!$N$41))</f>
        <v>1</v>
      </c>
      <c r="N89" s="93" t="n">
        <f aca="false">IF(Assumptions!N$99&lt;Client_Register!$P$41,0,IF(Assumptions!N$99&lt;=Client_Register!$Q$41,1,Client_Register!$N$41))</f>
        <v>1</v>
      </c>
      <c r="O89" s="93" t="n">
        <f aca="false">IF(Assumptions!O$99&lt;Client_Register!$P$41,0,IF(Assumptions!O$99&lt;=Client_Register!$Q$41,1,Client_Register!$N$41))</f>
        <v>1</v>
      </c>
      <c r="P89" s="93" t="n">
        <f aca="false">IF(Assumptions!P$99&lt;Client_Register!$P$41,0,IF(Assumptions!P$99&lt;=Client_Register!$Q$41,1,Client_Register!$N$41))</f>
        <v>1</v>
      </c>
      <c r="Q89" s="93" t="n">
        <f aca="false">IF(Assumptions!Q$99&lt;Client_Register!$P$41,0,IF(Assumptions!Q$99&lt;=Client_Register!$Q$41,1,Client_Register!$N$41))</f>
        <v>1</v>
      </c>
      <c r="R89" s="93" t="n">
        <f aca="false">IF(Assumptions!R$99&lt;Client_Register!$P$41,0,IF(Assumptions!R$99&lt;=Client_Register!$Q$41,1,Client_Register!$N$41))</f>
        <v>1</v>
      </c>
      <c r="S89" s="93" t="n">
        <f aca="false">IF(Assumptions!S$99&lt;Client_Register!$P$41,0,IF(Assumptions!S$99&lt;=Client_Register!$Q$41,1,Client_Register!$N$41))</f>
        <v>0.85</v>
      </c>
      <c r="T89" s="93" t="n">
        <f aca="false">IF(Assumptions!T$99&lt;Client_Register!$P$41,0,IF(Assumptions!T$99&lt;=Client_Register!$Q$41,1,Client_Register!$N$41))</f>
        <v>0.85</v>
      </c>
      <c r="U89" s="93" t="n">
        <f aca="false">IF(Assumptions!U$99&lt;Client_Register!$P$41,0,IF(Assumptions!U$99&lt;=Client_Register!$Q$41,1,Client_Register!$N$41))</f>
        <v>0.85</v>
      </c>
      <c r="V89" s="93" t="n">
        <f aca="false">IF(Assumptions!V$99&lt;Client_Register!$P$41,0,IF(Assumptions!V$99&lt;=Client_Register!$Q$41,1,Client_Register!$N$41))</f>
        <v>0.85</v>
      </c>
      <c r="W89" s="93" t="n">
        <f aca="false">IF(Assumptions!W$99&lt;Client_Register!$P$41,0,IF(Assumptions!W$99&lt;=Client_Register!$Q$41,1,Client_Register!$N$41))</f>
        <v>0.85</v>
      </c>
      <c r="X89" s="93" t="n">
        <f aca="false">IF(Assumptions!X$99&lt;Client_Register!$P$41,0,IF(Assumptions!X$99&lt;=Client_Register!$Q$41,1,Client_Register!$N$41))</f>
        <v>0.85</v>
      </c>
      <c r="Y89" s="93" t="n">
        <f aca="false">IF(Assumptions!Y$99&lt;Client_Register!$P$41,0,IF(Assumptions!Y$99&lt;=Client_Register!$Q$41,1,Client_Register!$N$41))</f>
        <v>0.85</v>
      </c>
      <c r="Z89" s="93" t="n">
        <f aca="false">IF(Assumptions!Z$99&lt;Client_Register!$P$41,0,IF(Assumptions!Z$99&lt;=Client_Register!$Q$41,1,Client_Register!$N$41))</f>
        <v>0.85</v>
      </c>
      <c r="AA89" s="93" t="n">
        <f aca="false">IF(Assumptions!AA$99&lt;Client_Register!$P$41,0,IF(Assumptions!AA$99&lt;=Client_Register!$Q$41,1,Client_Register!$N$41))</f>
        <v>0.85</v>
      </c>
      <c r="AB89" s="93" t="n">
        <f aca="false">IF(Assumptions!AB$99&lt;Client_Register!$P$41,0,IF(Assumptions!AB$99&lt;=Client_Register!$Q$41,1,Client_Register!$N$41))</f>
        <v>0.85</v>
      </c>
    </row>
    <row r="90" customFormat="false" ht="15" hidden="false" customHeight="false" outlineLevel="0" collapsed="false">
      <c r="A90" s="28" t="s">
        <v>874</v>
      </c>
      <c r="B90" s="58" t="s">
        <v>854</v>
      </c>
      <c r="C90" s="59" t="n">
        <f aca="false">SUM(E90:P90)</f>
        <v>168000</v>
      </c>
      <c r="D90" s="59" t="n">
        <f aca="false">SUM(Q90:AB90)</f>
        <v>151760</v>
      </c>
      <c r="E90" s="60" t="n">
        <f aca="false">IF(E$5="A",Inputs_Actuals!E38,Client_Register!$G$41*E89*IF(Assumptions!E$99&gt;Client_Register!$Q$41,1+Assumptions!$F$114,1))</f>
        <v>14000</v>
      </c>
      <c r="F90" s="60" t="n">
        <f aca="false">IF(F$5="A",Inputs_Actuals!F38,Client_Register!$G$41*F89*IF(Assumptions!F$99&gt;Client_Register!$Q$41,1+Assumptions!$F$114,1))</f>
        <v>14000</v>
      </c>
      <c r="G90" s="60" t="n">
        <f aca="false">IF(G$5="A",Inputs_Actuals!G38,Client_Register!$G$41*G89*IF(Assumptions!G$99&gt;Client_Register!$Q$41,1+Assumptions!$F$114,1))</f>
        <v>14000</v>
      </c>
      <c r="H90" s="60" t="n">
        <f aca="false">IF(H$5="A",Inputs_Actuals!H38,Client_Register!$G$41*H89*IF(Assumptions!H$99&gt;Client_Register!$Q$41,1+Assumptions!$F$114,1))</f>
        <v>14000</v>
      </c>
      <c r="I90" s="60" t="n">
        <f aca="false">IF(I$5="A",Inputs_Actuals!I38,Client_Register!$G$41*I89*IF(Assumptions!I$99&gt;Client_Register!$Q$41,1+Assumptions!$F$114,1))</f>
        <v>14000</v>
      </c>
      <c r="J90" s="60" t="n">
        <f aca="false">IF(J$5="A",Inputs_Actuals!J38,Client_Register!$G$41*J89*IF(Assumptions!J$99&gt;Client_Register!$Q$41,1+Assumptions!$F$114,1))</f>
        <v>14000</v>
      </c>
      <c r="K90" s="60" t="n">
        <f aca="false">IF(K$5="A",Inputs_Actuals!K38,Client_Register!$G$41*K89*IF(Assumptions!K$99&gt;Client_Register!$Q$41,1+Assumptions!$F$114,1))</f>
        <v>14000</v>
      </c>
      <c r="L90" s="60" t="n">
        <f aca="false">IF(L$5="A",Inputs_Actuals!L38,Client_Register!$G$41*L89*IF(Assumptions!L$99&gt;Client_Register!$Q$41,1+Assumptions!$F$114,1))</f>
        <v>14000</v>
      </c>
      <c r="M90" s="60" t="n">
        <f aca="false">IF(M$5="A",Inputs_Actuals!M38,Client_Register!$G$41*M89*IF(Assumptions!M$99&gt;Client_Register!$Q$41,1+Assumptions!$F$114,1))</f>
        <v>14000</v>
      </c>
      <c r="N90" s="60" t="n">
        <f aca="false">IF(N$5="A",Inputs_Actuals!N38,Client_Register!$G$41*N89*IF(Assumptions!N$99&gt;Client_Register!$Q$41,1+Assumptions!$F$114,1))</f>
        <v>14000</v>
      </c>
      <c r="O90" s="60" t="n">
        <f aca="false">IF(O$5="A",Inputs_Actuals!O38,Client_Register!$G$41*O89*IF(Assumptions!O$99&gt;Client_Register!$Q$41,1+Assumptions!$F$114,1))</f>
        <v>14000</v>
      </c>
      <c r="P90" s="60" t="n">
        <f aca="false">IF(P$5="A",Inputs_Actuals!P38,Client_Register!$G$41*P89*IF(Assumptions!P$99&gt;Client_Register!$Q$41,1+Assumptions!$F$114,1))</f>
        <v>14000</v>
      </c>
      <c r="Q90" s="60" t="n">
        <f aca="false">IF(Q$5="A",Inputs_Actuals!Q38,Client_Register!$G$41*Q89*IF(Assumptions!Q$99&gt;Client_Register!$Q$41,1+Assumptions!$F$114,1))</f>
        <v>14000</v>
      </c>
      <c r="R90" s="60" t="n">
        <f aca="false">IF(R$5="A",Inputs_Actuals!R38,Client_Register!$G$41*R89*IF(Assumptions!R$99&gt;Client_Register!$Q$41,1+Assumptions!$F$114,1))</f>
        <v>14000</v>
      </c>
      <c r="S90" s="60" t="n">
        <f aca="false">IF(S$5="A",Inputs_Actuals!S38,Client_Register!$G$41*S89*IF(Assumptions!S$99&gt;Client_Register!$Q$41,1+Assumptions!$F$114,1))</f>
        <v>12376</v>
      </c>
      <c r="T90" s="60" t="n">
        <f aca="false">IF(T$5="A",Inputs_Actuals!T38,Client_Register!$G$41*T89*IF(Assumptions!T$99&gt;Client_Register!$Q$41,1+Assumptions!$F$114,1))</f>
        <v>12376</v>
      </c>
      <c r="U90" s="60" t="n">
        <f aca="false">IF(U$5="A",Inputs_Actuals!U38,Client_Register!$G$41*U89*IF(Assumptions!U$99&gt;Client_Register!$Q$41,1+Assumptions!$F$114,1))</f>
        <v>12376</v>
      </c>
      <c r="V90" s="60" t="n">
        <f aca="false">IF(V$5="A",Inputs_Actuals!V38,Client_Register!$G$41*V89*IF(Assumptions!V$99&gt;Client_Register!$Q$41,1+Assumptions!$F$114,1))</f>
        <v>12376</v>
      </c>
      <c r="W90" s="60" t="n">
        <f aca="false">IF(W$5="A",Inputs_Actuals!W38,Client_Register!$G$41*W89*IF(Assumptions!W$99&gt;Client_Register!$Q$41,1+Assumptions!$F$114,1))</f>
        <v>12376</v>
      </c>
      <c r="X90" s="60" t="n">
        <f aca="false">IF(X$5="A",Inputs_Actuals!X38,Client_Register!$G$41*X89*IF(Assumptions!X$99&gt;Client_Register!$Q$41,1+Assumptions!$F$114,1))</f>
        <v>12376</v>
      </c>
      <c r="Y90" s="60" t="n">
        <f aca="false">IF(Y$5="A",Inputs_Actuals!Y38,Client_Register!$G$41*Y89*IF(Assumptions!Y$99&gt;Client_Register!$Q$41,1+Assumptions!$F$114,1))</f>
        <v>12376</v>
      </c>
      <c r="Z90" s="60" t="n">
        <f aca="false">IF(Z$5="A",Inputs_Actuals!Z38,Client_Register!$G$41*Z89*IF(Assumptions!Z$99&gt;Client_Register!$Q$41,1+Assumptions!$F$114,1))</f>
        <v>12376</v>
      </c>
      <c r="AA90" s="60" t="n">
        <f aca="false">IF(AA$5="A",Inputs_Actuals!AA38,Client_Register!$G$41*AA89*IF(Assumptions!AA$99&gt;Client_Register!$Q$41,1+Assumptions!$F$114,1))</f>
        <v>12376</v>
      </c>
      <c r="AB90" s="60" t="n">
        <f aca="false">IF(AB$5="A",Inputs_Actuals!AB38,Client_Register!$G$41*AB89*IF(Assumptions!AB$99&gt;Client_Register!$Q$41,1+Assumptions!$F$114,1))</f>
        <v>12376</v>
      </c>
    </row>
    <row r="91" customFormat="false" ht="15" hidden="false" customHeight="false" outlineLevel="0" collapsed="false">
      <c r="A91" s="28" t="s">
        <v>855</v>
      </c>
      <c r="B91" s="58" t="s">
        <v>856</v>
      </c>
      <c r="C91" s="59" t="n">
        <f aca="false">SUM(E91:P91)</f>
        <v>168000</v>
      </c>
      <c r="D91" s="59" t="n">
        <f aca="false">SUM(Q91:AB91)</f>
        <v>151760</v>
      </c>
      <c r="E91" s="71" t="n">
        <f aca="false">E90/1</f>
        <v>14000</v>
      </c>
      <c r="F91" s="71" t="n">
        <f aca="false">F90/1</f>
        <v>14000</v>
      </c>
      <c r="G91" s="71" t="n">
        <f aca="false">G90/1</f>
        <v>14000</v>
      </c>
      <c r="H91" s="71" t="n">
        <f aca="false">H90/1</f>
        <v>14000</v>
      </c>
      <c r="I91" s="71" t="n">
        <f aca="false">I90/1</f>
        <v>14000</v>
      </c>
      <c r="J91" s="71" t="n">
        <f aca="false">J90/1</f>
        <v>14000</v>
      </c>
      <c r="K91" s="71" t="n">
        <f aca="false">K90/1</f>
        <v>14000</v>
      </c>
      <c r="L91" s="71" t="n">
        <f aca="false">L90/1</f>
        <v>14000</v>
      </c>
      <c r="M91" s="71" t="n">
        <f aca="false">M90/1</f>
        <v>14000</v>
      </c>
      <c r="N91" s="71" t="n">
        <f aca="false">N90/1</f>
        <v>14000</v>
      </c>
      <c r="O91" s="71" t="n">
        <f aca="false">O90/1</f>
        <v>14000</v>
      </c>
      <c r="P91" s="71" t="n">
        <f aca="false">P90/1</f>
        <v>14000</v>
      </c>
      <c r="Q91" s="71" t="n">
        <f aca="false">Q90/1</f>
        <v>14000</v>
      </c>
      <c r="R91" s="71" t="n">
        <f aca="false">R90/1</f>
        <v>14000</v>
      </c>
      <c r="S91" s="71" t="n">
        <f aca="false">S90/1</f>
        <v>12376</v>
      </c>
      <c r="T91" s="71" t="n">
        <f aca="false">T90/1</f>
        <v>12376</v>
      </c>
      <c r="U91" s="71" t="n">
        <f aca="false">U90/1</f>
        <v>12376</v>
      </c>
      <c r="V91" s="71" t="n">
        <f aca="false">V90/1</f>
        <v>12376</v>
      </c>
      <c r="W91" s="71" t="n">
        <f aca="false">W90/1</f>
        <v>12376</v>
      </c>
      <c r="X91" s="71" t="n">
        <f aca="false">X90/1</f>
        <v>12376</v>
      </c>
      <c r="Y91" s="71" t="n">
        <f aca="false">Y90/1</f>
        <v>12376</v>
      </c>
      <c r="Z91" s="71" t="n">
        <f aca="false">Z90/1</f>
        <v>12376</v>
      </c>
      <c r="AA91" s="71" t="n">
        <f aca="false">AA90/1</f>
        <v>12376</v>
      </c>
      <c r="AB91" s="71" t="n">
        <f aca="false">AB90/1</f>
        <v>12376</v>
      </c>
    </row>
    <row r="92" customFormat="false" ht="15" hidden="false" customHeight="false" outlineLevel="0" collapsed="false">
      <c r="A92" s="28" t="s">
        <v>857</v>
      </c>
      <c r="B92" s="58" t="s">
        <v>858</v>
      </c>
      <c r="C92" s="66" t="n">
        <f aca="false">SUM(E92:P92)</f>
        <v>1740</v>
      </c>
      <c r="D92" s="66" t="n">
        <f aca="false">SUM(Q92:AB92)</f>
        <v>1522.5</v>
      </c>
      <c r="E92" s="67" t="n">
        <f aca="false">Client_Register!$H$41*E89</f>
        <v>145</v>
      </c>
      <c r="F92" s="67" t="n">
        <f aca="false">Client_Register!$H$41*F89</f>
        <v>145</v>
      </c>
      <c r="G92" s="67" t="n">
        <f aca="false">Client_Register!$H$41*G89</f>
        <v>145</v>
      </c>
      <c r="H92" s="67" t="n">
        <f aca="false">Client_Register!$H$41*H89</f>
        <v>145</v>
      </c>
      <c r="I92" s="67" t="n">
        <f aca="false">Client_Register!$H$41*I89</f>
        <v>145</v>
      </c>
      <c r="J92" s="67" t="n">
        <f aca="false">Client_Register!$H$41*J89</f>
        <v>145</v>
      </c>
      <c r="K92" s="67" t="n">
        <f aca="false">Client_Register!$H$41*K89</f>
        <v>145</v>
      </c>
      <c r="L92" s="67" t="n">
        <f aca="false">Client_Register!$H$41*L89</f>
        <v>145</v>
      </c>
      <c r="M92" s="67" t="n">
        <f aca="false">Client_Register!$H$41*M89</f>
        <v>145</v>
      </c>
      <c r="N92" s="67" t="n">
        <f aca="false">Client_Register!$H$41*N89</f>
        <v>145</v>
      </c>
      <c r="O92" s="67" t="n">
        <f aca="false">Client_Register!$H$41*O89</f>
        <v>145</v>
      </c>
      <c r="P92" s="67" t="n">
        <f aca="false">Client_Register!$H$41*P89</f>
        <v>145</v>
      </c>
      <c r="Q92" s="67" t="n">
        <f aca="false">Client_Register!$H$41*Q89</f>
        <v>145</v>
      </c>
      <c r="R92" s="67" t="n">
        <f aca="false">Client_Register!$H$41*R89</f>
        <v>145</v>
      </c>
      <c r="S92" s="67" t="n">
        <f aca="false">Client_Register!$H$41*S89</f>
        <v>123.25</v>
      </c>
      <c r="T92" s="67" t="n">
        <f aca="false">Client_Register!$H$41*T89</f>
        <v>123.25</v>
      </c>
      <c r="U92" s="67" t="n">
        <f aca="false">Client_Register!$H$41*U89</f>
        <v>123.25</v>
      </c>
      <c r="V92" s="67" t="n">
        <f aca="false">Client_Register!$H$41*V89</f>
        <v>123.25</v>
      </c>
      <c r="W92" s="67" t="n">
        <f aca="false">Client_Register!$H$41*W89</f>
        <v>123.25</v>
      </c>
      <c r="X92" s="67" t="n">
        <f aca="false">Client_Register!$H$41*X89</f>
        <v>123.25</v>
      </c>
      <c r="Y92" s="67" t="n">
        <f aca="false">Client_Register!$H$41*Y89</f>
        <v>123.25</v>
      </c>
      <c r="Z92" s="67" t="n">
        <f aca="false">Client_Register!$H$41*Z89</f>
        <v>123.25</v>
      </c>
      <c r="AA92" s="67" t="n">
        <f aca="false">Client_Register!$H$41*AA89</f>
        <v>123.25</v>
      </c>
      <c r="AB92" s="67" t="n">
        <f aca="false">Client_Register!$H$41*AB89</f>
        <v>123.25</v>
      </c>
    </row>
    <row r="93" customFormat="false" ht="15" hidden="false" customHeight="false" outlineLevel="0" collapsed="false">
      <c r="A93" s="28" t="s">
        <v>802</v>
      </c>
      <c r="B93" s="58" t="s">
        <v>859</v>
      </c>
      <c r="C93" s="66" t="n">
        <f aca="false">SUM(E93:P93)</f>
        <v>1860.42</v>
      </c>
      <c r="D93" s="66" t="n">
        <f aca="false">SUM(Q93:AB93)</f>
        <v>1604.4525</v>
      </c>
      <c r="E93" s="67" t="n">
        <f aca="false">IF(E$5="A",Inputs_Actuals!E39,E92*(1+Client_Register!$S$41))</f>
        <v>161.4</v>
      </c>
      <c r="F93" s="67" t="n">
        <f aca="false">IF(F$5="A",Inputs_Actuals!F39,F92*(1+Client_Register!$S$41))</f>
        <v>155</v>
      </c>
      <c r="G93" s="67" t="n">
        <f aca="false">IF(G$5="A",Inputs_Actuals!G39,G92*(1+Client_Register!$S$41))</f>
        <v>163.4</v>
      </c>
      <c r="H93" s="67" t="n">
        <f aca="false">IF(H$5="A",Inputs_Actuals!H39,H92*(1+Client_Register!$S$41))</f>
        <v>151.2</v>
      </c>
      <c r="I93" s="67" t="n">
        <f aca="false">IF(I$5="A",Inputs_Actuals!I39,I92*(1+Client_Register!$S$41))</f>
        <v>153.9</v>
      </c>
      <c r="J93" s="67" t="n">
        <f aca="false">IF(J$5="A",Inputs_Actuals!J39,J92*(1+Client_Register!$S$41))</f>
        <v>147.7</v>
      </c>
      <c r="K93" s="67" t="n">
        <f aca="false">IF(K$5="A",Inputs_Actuals!K39,K92*(1+Client_Register!$S$41))</f>
        <v>157.4</v>
      </c>
      <c r="L93" s="67" t="n">
        <f aca="false">IF(L$5="A",Inputs_Actuals!L39,L92*(1+Client_Register!$S$41))</f>
        <v>159.2</v>
      </c>
      <c r="M93" s="67" t="n">
        <f aca="false">IF(M$5="A",Inputs_Actuals!M39,M92*(1+Client_Register!$S$41))</f>
        <v>152.805</v>
      </c>
      <c r="N93" s="67" t="n">
        <f aca="false">IF(N$5="A",Inputs_Actuals!N39,N92*(1+Client_Register!$S$41))</f>
        <v>152.805</v>
      </c>
      <c r="O93" s="67" t="n">
        <f aca="false">IF(O$5="A",Inputs_Actuals!O39,O92*(1+Client_Register!$S$41))</f>
        <v>152.805</v>
      </c>
      <c r="P93" s="67" t="n">
        <f aca="false">IF(P$5="A",Inputs_Actuals!P39,P92*(1+Client_Register!$S$41))</f>
        <v>152.805</v>
      </c>
      <c r="Q93" s="67" t="n">
        <f aca="false">IF(Q$5="A",Inputs_Actuals!Q39,Q92*(1+Client_Register!$S$41))</f>
        <v>152.805</v>
      </c>
      <c r="R93" s="67" t="n">
        <f aca="false">IF(R$5="A",Inputs_Actuals!R39,R92*(1+Client_Register!$S$41))</f>
        <v>152.805</v>
      </c>
      <c r="S93" s="67" t="n">
        <f aca="false">IF(S$5="A",Inputs_Actuals!S39,S92*(1+Client_Register!$S$41))</f>
        <v>129.88425</v>
      </c>
      <c r="T93" s="67" t="n">
        <f aca="false">IF(T$5="A",Inputs_Actuals!T39,T92*(1+Client_Register!$S$41))</f>
        <v>129.88425</v>
      </c>
      <c r="U93" s="67" t="n">
        <f aca="false">IF(U$5="A",Inputs_Actuals!U39,U92*(1+Client_Register!$S$41))</f>
        <v>129.88425</v>
      </c>
      <c r="V93" s="67" t="n">
        <f aca="false">IF(V$5="A",Inputs_Actuals!V39,V92*(1+Client_Register!$S$41))</f>
        <v>129.88425</v>
      </c>
      <c r="W93" s="67" t="n">
        <f aca="false">IF(W$5="A",Inputs_Actuals!W39,W92*(1+Client_Register!$S$41))</f>
        <v>129.88425</v>
      </c>
      <c r="X93" s="67" t="n">
        <f aca="false">IF(X$5="A",Inputs_Actuals!X39,X92*(1+Client_Register!$S$41))</f>
        <v>129.88425</v>
      </c>
      <c r="Y93" s="67" t="n">
        <f aca="false">IF(Y$5="A",Inputs_Actuals!Y39,Y92*(1+Client_Register!$S$41))</f>
        <v>129.88425</v>
      </c>
      <c r="Z93" s="67" t="n">
        <f aca="false">IF(Z$5="A",Inputs_Actuals!Z39,Z92*(1+Client_Register!$S$41))</f>
        <v>129.88425</v>
      </c>
      <c r="AA93" s="67" t="n">
        <f aca="false">IF(AA$5="A",Inputs_Actuals!AA39,AA92*(1+Client_Register!$S$41))</f>
        <v>129.88425</v>
      </c>
      <c r="AB93" s="67" t="n">
        <f aca="false">IF(AB$5="A",Inputs_Actuals!AB39,AB92*(1+Client_Register!$S$41))</f>
        <v>129.88425</v>
      </c>
    </row>
    <row r="94" customFormat="false" ht="15" hidden="false" customHeight="false" outlineLevel="0" collapsed="false">
      <c r="A94" s="28" t="s">
        <v>860</v>
      </c>
      <c r="B94" s="58" t="s">
        <v>861</v>
      </c>
      <c r="C94" s="66" t="n">
        <f aca="false">SUM(E94:P94)</f>
        <v>120.42</v>
      </c>
      <c r="D94" s="66" t="n">
        <f aca="false">SUM(Q94:AB94)</f>
        <v>81.9525000000001</v>
      </c>
      <c r="E94" s="72" t="n">
        <f aca="false">E93-E92</f>
        <v>16.4</v>
      </c>
      <c r="F94" s="72" t="n">
        <f aca="false">F93-F92</f>
        <v>10</v>
      </c>
      <c r="G94" s="72" t="n">
        <f aca="false">G93-G92</f>
        <v>18.4</v>
      </c>
      <c r="H94" s="72" t="n">
        <f aca="false">H93-H92</f>
        <v>6.19999999999999</v>
      </c>
      <c r="I94" s="72" t="n">
        <f aca="false">I93-I92</f>
        <v>8.90000000000001</v>
      </c>
      <c r="J94" s="72" t="n">
        <f aca="false">J93-J92</f>
        <v>2.69999999999999</v>
      </c>
      <c r="K94" s="72" t="n">
        <f aca="false">K93-K92</f>
        <v>12.4</v>
      </c>
      <c r="L94" s="72" t="n">
        <f aca="false">L93-L92</f>
        <v>14.2</v>
      </c>
      <c r="M94" s="72" t="n">
        <f aca="false">M93-M92</f>
        <v>7.80500000000001</v>
      </c>
      <c r="N94" s="72" t="n">
        <f aca="false">N93-N92</f>
        <v>7.80500000000001</v>
      </c>
      <c r="O94" s="72" t="n">
        <f aca="false">O93-O92</f>
        <v>7.80500000000001</v>
      </c>
      <c r="P94" s="72" t="n">
        <f aca="false">P93-P92</f>
        <v>7.80500000000001</v>
      </c>
      <c r="Q94" s="72" t="n">
        <f aca="false">Q93-Q92</f>
        <v>7.80500000000001</v>
      </c>
      <c r="R94" s="72" t="n">
        <f aca="false">R93-R92</f>
        <v>7.80500000000001</v>
      </c>
      <c r="S94" s="72" t="n">
        <f aca="false">S93-S92</f>
        <v>6.63425000000001</v>
      </c>
      <c r="T94" s="72" t="n">
        <f aca="false">T93-T92</f>
        <v>6.63425000000001</v>
      </c>
      <c r="U94" s="72" t="n">
        <f aca="false">U93-U92</f>
        <v>6.63425000000001</v>
      </c>
      <c r="V94" s="72" t="n">
        <f aca="false">V93-V92</f>
        <v>6.63425000000001</v>
      </c>
      <c r="W94" s="72" t="n">
        <f aca="false">W93-W92</f>
        <v>6.63425000000001</v>
      </c>
      <c r="X94" s="72" t="n">
        <f aca="false">X93-X92</f>
        <v>6.63425000000001</v>
      </c>
      <c r="Y94" s="72" t="n">
        <f aca="false">Y93-Y92</f>
        <v>6.63425000000001</v>
      </c>
      <c r="Z94" s="72" t="n">
        <f aca="false">Z93-Z92</f>
        <v>6.63425000000001</v>
      </c>
      <c r="AA94" s="72" t="n">
        <f aca="false">AA93-AA92</f>
        <v>6.63425000000001</v>
      </c>
      <c r="AB94" s="72" t="n">
        <f aca="false">AB93-AB92</f>
        <v>6.63425000000001</v>
      </c>
    </row>
    <row r="95" customFormat="false" ht="15" hidden="false" customHeight="false" outlineLevel="0" collapsed="false">
      <c r="A95" s="28" t="s">
        <v>862</v>
      </c>
      <c r="B95" s="58" t="s">
        <v>863</v>
      </c>
      <c r="C95" s="59" t="n">
        <f aca="false">SUM(E95:P95)</f>
        <v>5620.17129058688</v>
      </c>
      <c r="D95" s="59" t="n">
        <f aca="false">SUM(Q95:AB95)</f>
        <v>3996.95654075697</v>
      </c>
      <c r="E95" s="60" t="n">
        <f aca="false">E94*Utilisation!E89</f>
        <v>765.41113739931</v>
      </c>
      <c r="F95" s="60" t="n">
        <f aca="false">F94*Utilisation!F89</f>
        <v>466.714108170311</v>
      </c>
      <c r="G95" s="60" t="n">
        <f aca="false">G94*Utilisation!G89</f>
        <v>858.753959033372</v>
      </c>
      <c r="H95" s="60" t="n">
        <f aca="false">H94*Utilisation!H89</f>
        <v>289.362747065592</v>
      </c>
      <c r="I95" s="60" t="n">
        <f aca="false">I94*Utilisation!I89</f>
        <v>415.375556271577</v>
      </c>
      <c r="J95" s="60" t="n">
        <f aca="false">J94*Utilisation!J89</f>
        <v>126.012809205983</v>
      </c>
      <c r="K95" s="60" t="n">
        <f aca="false">K94*Utilisation!K89</f>
        <v>578.725494131186</v>
      </c>
      <c r="L95" s="60" t="n">
        <f aca="false">L94*Utilisation!L89</f>
        <v>662.734033601841</v>
      </c>
      <c r="M95" s="60" t="n">
        <f aca="false">M94*Utilisation!M89</f>
        <v>364.270361426928</v>
      </c>
      <c r="N95" s="60" t="n">
        <f aca="false">N94*Utilisation!N89</f>
        <v>364.270361426928</v>
      </c>
      <c r="O95" s="60" t="n">
        <f aca="false">O94*Utilisation!O89</f>
        <v>364.270361426928</v>
      </c>
      <c r="P95" s="60" t="n">
        <f aca="false">P94*Utilisation!P89</f>
        <v>364.270361426928</v>
      </c>
      <c r="Q95" s="60" t="n">
        <f aca="false">Q94*Utilisation!Q89</f>
        <v>380.66252769114</v>
      </c>
      <c r="R95" s="60" t="n">
        <f aca="false">R94*Utilisation!R89</f>
        <v>380.66252769114</v>
      </c>
      <c r="S95" s="60" t="n">
        <f aca="false">S94*Utilisation!S89</f>
        <v>323.563148537469</v>
      </c>
      <c r="T95" s="60" t="n">
        <f aca="false">T94*Utilisation!T89</f>
        <v>323.563148537469</v>
      </c>
      <c r="U95" s="60" t="n">
        <f aca="false">U94*Utilisation!U89</f>
        <v>323.563148537469</v>
      </c>
      <c r="V95" s="60" t="n">
        <f aca="false">V94*Utilisation!V89</f>
        <v>323.563148537469</v>
      </c>
      <c r="W95" s="60" t="n">
        <f aca="false">W94*Utilisation!W89</f>
        <v>323.563148537469</v>
      </c>
      <c r="X95" s="60" t="n">
        <f aca="false">X94*Utilisation!X89</f>
        <v>323.563148537469</v>
      </c>
      <c r="Y95" s="60" t="n">
        <f aca="false">Y94*Utilisation!Y89</f>
        <v>323.563148537469</v>
      </c>
      <c r="Z95" s="60" t="n">
        <f aca="false">Z94*Utilisation!Z89</f>
        <v>323.563148537469</v>
      </c>
      <c r="AA95" s="60" t="n">
        <f aca="false">AA94*Utilisation!AA89</f>
        <v>323.563148537469</v>
      </c>
      <c r="AB95" s="60" t="n">
        <f aca="false">AB94*Utilisation!AB89</f>
        <v>323.563148537469</v>
      </c>
    </row>
    <row r="96" customFormat="false" ht="15" hidden="false" customHeight="false" outlineLevel="0" collapsed="false">
      <c r="A96" s="28" t="s">
        <v>864</v>
      </c>
      <c r="B96" s="58" t="s">
        <v>865</v>
      </c>
      <c r="C96" s="59" t="n">
        <f aca="false">SUM(E96:P96)</f>
        <v>168000</v>
      </c>
      <c r="D96" s="59" t="n">
        <f aca="false">SUM(Q96:AB96)</f>
        <v>151760</v>
      </c>
      <c r="E96" s="60" t="n">
        <f aca="false">IF(E$5="A",Inputs_Actuals!E40,E90)</f>
        <v>14000</v>
      </c>
      <c r="F96" s="60" t="n">
        <f aca="false">IF(F$5="A",Inputs_Actuals!F40,F90)</f>
        <v>14000</v>
      </c>
      <c r="G96" s="60" t="n">
        <f aca="false">IF(G$5="A",Inputs_Actuals!G40,G90)</f>
        <v>14000</v>
      </c>
      <c r="H96" s="60" t="n">
        <f aca="false">IF(H$5="A",Inputs_Actuals!H40,H90)</f>
        <v>14000</v>
      </c>
      <c r="I96" s="60" t="n">
        <f aca="false">IF(I$5="A",Inputs_Actuals!I40,I90)</f>
        <v>14000</v>
      </c>
      <c r="J96" s="60" t="n">
        <f aca="false">IF(J$5="A",Inputs_Actuals!J40,J90)</f>
        <v>14000</v>
      </c>
      <c r="K96" s="60" t="n">
        <f aca="false">IF(K$5="A",Inputs_Actuals!K40,K90)</f>
        <v>14000</v>
      </c>
      <c r="L96" s="60" t="n">
        <f aca="false">IF(L$5="A",Inputs_Actuals!L40,L90)</f>
        <v>14000</v>
      </c>
      <c r="M96" s="60" t="n">
        <f aca="false">IF(M$5="A",Inputs_Actuals!M40,M90)</f>
        <v>14000</v>
      </c>
      <c r="N96" s="60" t="n">
        <f aca="false">IF(N$5="A",Inputs_Actuals!N40,N90)</f>
        <v>14000</v>
      </c>
      <c r="O96" s="60" t="n">
        <f aca="false">IF(O$5="A",Inputs_Actuals!O40,O90)</f>
        <v>14000</v>
      </c>
      <c r="P96" s="60" t="n">
        <f aca="false">IF(P$5="A",Inputs_Actuals!P40,P90)</f>
        <v>14000</v>
      </c>
      <c r="Q96" s="60" t="n">
        <f aca="false">IF(Q$5="A",Inputs_Actuals!Q40,Q90)</f>
        <v>14000</v>
      </c>
      <c r="R96" s="60" t="n">
        <f aca="false">IF(R$5="A",Inputs_Actuals!R40,R90)</f>
        <v>14000</v>
      </c>
      <c r="S96" s="60" t="n">
        <f aca="false">IF(S$5="A",Inputs_Actuals!S40,S90)</f>
        <v>12376</v>
      </c>
      <c r="T96" s="60" t="n">
        <f aca="false">IF(T$5="A",Inputs_Actuals!T40,T90)</f>
        <v>12376</v>
      </c>
      <c r="U96" s="60" t="n">
        <f aca="false">IF(U$5="A",Inputs_Actuals!U40,U90)</f>
        <v>12376</v>
      </c>
      <c r="V96" s="60" t="n">
        <f aca="false">IF(V$5="A",Inputs_Actuals!V40,V90)</f>
        <v>12376</v>
      </c>
      <c r="W96" s="60" t="n">
        <f aca="false">IF(W$5="A",Inputs_Actuals!W40,W90)</f>
        <v>12376</v>
      </c>
      <c r="X96" s="60" t="n">
        <f aca="false">IF(X$5="A",Inputs_Actuals!X40,X90)</f>
        <v>12376</v>
      </c>
      <c r="Y96" s="60" t="n">
        <f aca="false">IF(Y$5="A",Inputs_Actuals!Y40,Y90)</f>
        <v>12376</v>
      </c>
      <c r="Z96" s="60" t="n">
        <f aca="false">IF(Z$5="A",Inputs_Actuals!Z40,Z90)</f>
        <v>12376</v>
      </c>
      <c r="AA96" s="60" t="n">
        <f aca="false">IF(AA$5="A",Inputs_Actuals!AA40,AA90)</f>
        <v>12376</v>
      </c>
      <c r="AB96" s="60" t="n">
        <f aca="false">IF(AB$5="A",Inputs_Actuals!AB40,AB90)</f>
        <v>12376</v>
      </c>
    </row>
    <row r="98" customFormat="false" ht="15" hidden="false" customHeight="false" outlineLevel="0" collapsed="false">
      <c r="A98" s="22" t="s">
        <v>877</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row>
    <row r="99" customFormat="false" ht="15" hidden="false" customHeight="false" outlineLevel="0" collapsed="false">
      <c r="A99" s="28" t="s">
        <v>852</v>
      </c>
      <c r="B99" s="58" t="s">
        <v>79</v>
      </c>
      <c r="C99" s="110" t="n">
        <f aca="false">AVERAGE(E99:P99)</f>
        <v>0.75</v>
      </c>
      <c r="D99" s="110" t="n">
        <f aca="false">AVERAGE(Q99:AB99)</f>
        <v>0</v>
      </c>
      <c r="E99" s="93" t="n">
        <f aca="false">IF(Assumptions!E$99&lt;Client_Register!$P$42,0,IF(Assumptions!E$99&lt;=Client_Register!$Q$42,1,Client_Register!$N$42))</f>
        <v>1</v>
      </c>
      <c r="F99" s="93" t="n">
        <f aca="false">IF(Assumptions!F$99&lt;Client_Register!$P$42,0,IF(Assumptions!F$99&lt;=Client_Register!$Q$42,1,Client_Register!$N$42))</f>
        <v>1</v>
      </c>
      <c r="G99" s="93" t="n">
        <f aca="false">IF(Assumptions!G$99&lt;Client_Register!$P$42,0,IF(Assumptions!G$99&lt;=Client_Register!$Q$42,1,Client_Register!$N$42))</f>
        <v>1</v>
      </c>
      <c r="H99" s="93" t="n">
        <f aca="false">IF(Assumptions!H$99&lt;Client_Register!$P$42,0,IF(Assumptions!H$99&lt;=Client_Register!$Q$42,1,Client_Register!$N$42))</f>
        <v>1</v>
      </c>
      <c r="I99" s="93" t="n">
        <f aca="false">IF(Assumptions!I$99&lt;Client_Register!$P$42,0,IF(Assumptions!I$99&lt;=Client_Register!$Q$42,1,Client_Register!$N$42))</f>
        <v>1</v>
      </c>
      <c r="J99" s="93" t="n">
        <f aca="false">IF(Assumptions!J$99&lt;Client_Register!$P$42,0,IF(Assumptions!J$99&lt;=Client_Register!$Q$42,1,Client_Register!$N$42))</f>
        <v>1</v>
      </c>
      <c r="K99" s="93" t="n">
        <f aca="false">IF(Assumptions!K$99&lt;Client_Register!$P$42,0,IF(Assumptions!K$99&lt;=Client_Register!$Q$42,1,Client_Register!$N$42))</f>
        <v>1</v>
      </c>
      <c r="L99" s="93" t="n">
        <f aca="false">IF(Assumptions!L$99&lt;Client_Register!$P$42,0,IF(Assumptions!L$99&lt;=Client_Register!$Q$42,1,Client_Register!$N$42))</f>
        <v>1</v>
      </c>
      <c r="M99" s="93" t="n">
        <f aca="false">IF(Assumptions!M$99&lt;Client_Register!$P$42,0,IF(Assumptions!M$99&lt;=Client_Register!$Q$42,1,Client_Register!$N$42))</f>
        <v>1</v>
      </c>
      <c r="N99" s="93" t="n">
        <f aca="false">IF(Assumptions!N$99&lt;Client_Register!$P$42,0,IF(Assumptions!N$99&lt;=Client_Register!$Q$42,1,Client_Register!$N$42))</f>
        <v>0</v>
      </c>
      <c r="O99" s="93" t="n">
        <f aca="false">IF(Assumptions!O$99&lt;Client_Register!$P$42,0,IF(Assumptions!O$99&lt;=Client_Register!$Q$42,1,Client_Register!$N$42))</f>
        <v>0</v>
      </c>
      <c r="P99" s="93" t="n">
        <f aca="false">IF(Assumptions!P$99&lt;Client_Register!$P$42,0,IF(Assumptions!P$99&lt;=Client_Register!$Q$42,1,Client_Register!$N$42))</f>
        <v>0</v>
      </c>
      <c r="Q99" s="93" t="n">
        <f aca="false">IF(Assumptions!Q$99&lt;Client_Register!$P$42,0,IF(Assumptions!Q$99&lt;=Client_Register!$Q$42,1,Client_Register!$N$42))</f>
        <v>0</v>
      </c>
      <c r="R99" s="93" t="n">
        <f aca="false">IF(Assumptions!R$99&lt;Client_Register!$P$42,0,IF(Assumptions!R$99&lt;=Client_Register!$Q$42,1,Client_Register!$N$42))</f>
        <v>0</v>
      </c>
      <c r="S99" s="93" t="n">
        <f aca="false">IF(Assumptions!S$99&lt;Client_Register!$P$42,0,IF(Assumptions!S$99&lt;=Client_Register!$Q$42,1,Client_Register!$N$42))</f>
        <v>0</v>
      </c>
      <c r="T99" s="93" t="n">
        <f aca="false">IF(Assumptions!T$99&lt;Client_Register!$P$42,0,IF(Assumptions!T$99&lt;=Client_Register!$Q$42,1,Client_Register!$N$42))</f>
        <v>0</v>
      </c>
      <c r="U99" s="93" t="n">
        <f aca="false">IF(Assumptions!U$99&lt;Client_Register!$P$42,0,IF(Assumptions!U$99&lt;=Client_Register!$Q$42,1,Client_Register!$N$42))</f>
        <v>0</v>
      </c>
      <c r="V99" s="93" t="n">
        <f aca="false">IF(Assumptions!V$99&lt;Client_Register!$P$42,0,IF(Assumptions!V$99&lt;=Client_Register!$Q$42,1,Client_Register!$N$42))</f>
        <v>0</v>
      </c>
      <c r="W99" s="93" t="n">
        <f aca="false">IF(Assumptions!W$99&lt;Client_Register!$P$42,0,IF(Assumptions!W$99&lt;=Client_Register!$Q$42,1,Client_Register!$N$42))</f>
        <v>0</v>
      </c>
      <c r="X99" s="93" t="n">
        <f aca="false">IF(Assumptions!X$99&lt;Client_Register!$P$42,0,IF(Assumptions!X$99&lt;=Client_Register!$Q$42,1,Client_Register!$N$42))</f>
        <v>0</v>
      </c>
      <c r="Y99" s="93" t="n">
        <f aca="false">IF(Assumptions!Y$99&lt;Client_Register!$P$42,0,IF(Assumptions!Y$99&lt;=Client_Register!$Q$42,1,Client_Register!$N$42))</f>
        <v>0</v>
      </c>
      <c r="Z99" s="93" t="n">
        <f aca="false">IF(Assumptions!Z$99&lt;Client_Register!$P$42,0,IF(Assumptions!Z$99&lt;=Client_Register!$Q$42,1,Client_Register!$N$42))</f>
        <v>0</v>
      </c>
      <c r="AA99" s="93" t="n">
        <f aca="false">IF(Assumptions!AA$99&lt;Client_Register!$P$42,0,IF(Assumptions!AA$99&lt;=Client_Register!$Q$42,1,Client_Register!$N$42))</f>
        <v>0</v>
      </c>
      <c r="AB99" s="93" t="n">
        <f aca="false">IF(Assumptions!AB$99&lt;Client_Register!$P$42,0,IF(Assumptions!AB$99&lt;=Client_Register!$Q$42,1,Client_Register!$N$42))</f>
        <v>0</v>
      </c>
    </row>
    <row r="100" customFormat="false" ht="15" hidden="false" customHeight="false" outlineLevel="0" collapsed="false">
      <c r="A100" s="28" t="s">
        <v>874</v>
      </c>
      <c r="B100" s="58" t="s">
        <v>854</v>
      </c>
      <c r="C100" s="59" t="n">
        <f aca="false">SUM(E100:P100)</f>
        <v>121500</v>
      </c>
      <c r="D100" s="59" t="n">
        <f aca="false">SUM(Q100:AB100)</f>
        <v>0</v>
      </c>
      <c r="E100" s="60" t="n">
        <f aca="false">IF(E$5="A",Inputs_Actuals!E41,Client_Register!$G$42*E99*IF(Assumptions!E$99&gt;Client_Register!$Q$42,1+Assumptions!$F$114,1))</f>
        <v>13500</v>
      </c>
      <c r="F100" s="60" t="n">
        <f aca="false">IF(F$5="A",Inputs_Actuals!F41,Client_Register!$G$42*F99*IF(Assumptions!F$99&gt;Client_Register!$Q$42,1+Assumptions!$F$114,1))</f>
        <v>13500</v>
      </c>
      <c r="G100" s="60" t="n">
        <f aca="false">IF(G$5="A",Inputs_Actuals!G41,Client_Register!$G$42*G99*IF(Assumptions!G$99&gt;Client_Register!$Q$42,1+Assumptions!$F$114,1))</f>
        <v>13500</v>
      </c>
      <c r="H100" s="60" t="n">
        <f aca="false">IF(H$5="A",Inputs_Actuals!H41,Client_Register!$G$42*H99*IF(Assumptions!H$99&gt;Client_Register!$Q$42,1+Assumptions!$F$114,1))</f>
        <v>13500</v>
      </c>
      <c r="I100" s="60" t="n">
        <f aca="false">IF(I$5="A",Inputs_Actuals!I41,Client_Register!$G$42*I99*IF(Assumptions!I$99&gt;Client_Register!$Q$42,1+Assumptions!$F$114,1))</f>
        <v>13500</v>
      </c>
      <c r="J100" s="60" t="n">
        <f aca="false">IF(J$5="A",Inputs_Actuals!J41,Client_Register!$G$42*J99*IF(Assumptions!J$99&gt;Client_Register!$Q$42,1+Assumptions!$F$114,1))</f>
        <v>13500</v>
      </c>
      <c r="K100" s="60" t="n">
        <f aca="false">IF(K$5="A",Inputs_Actuals!K41,Client_Register!$G$42*K99*IF(Assumptions!K$99&gt;Client_Register!$Q$42,1+Assumptions!$F$114,1))</f>
        <v>13500</v>
      </c>
      <c r="L100" s="60" t="n">
        <f aca="false">IF(L$5="A",Inputs_Actuals!L41,Client_Register!$G$42*L99*IF(Assumptions!L$99&gt;Client_Register!$Q$42,1+Assumptions!$F$114,1))</f>
        <v>13500</v>
      </c>
      <c r="M100" s="60" t="n">
        <f aca="false">IF(M$5="A",Inputs_Actuals!M41,Client_Register!$G$42*M99*IF(Assumptions!M$99&gt;Client_Register!$Q$42,1+Assumptions!$F$114,1))</f>
        <v>13500</v>
      </c>
      <c r="N100" s="60" t="n">
        <f aca="false">IF(N$5="A",Inputs_Actuals!N41,Client_Register!$G$42*N99*IF(Assumptions!N$99&gt;Client_Register!$Q$42,1+Assumptions!$F$114,1))</f>
        <v>0</v>
      </c>
      <c r="O100" s="60" t="n">
        <f aca="false">IF(O$5="A",Inputs_Actuals!O41,Client_Register!$G$42*O99*IF(Assumptions!O$99&gt;Client_Register!$Q$42,1+Assumptions!$F$114,1))</f>
        <v>0</v>
      </c>
      <c r="P100" s="60" t="n">
        <f aca="false">IF(P$5="A",Inputs_Actuals!P41,Client_Register!$G$42*P99*IF(Assumptions!P$99&gt;Client_Register!$Q$42,1+Assumptions!$F$114,1))</f>
        <v>0</v>
      </c>
      <c r="Q100" s="60" t="n">
        <f aca="false">IF(Q$5="A",Inputs_Actuals!Q41,Client_Register!$G$42*Q99*IF(Assumptions!Q$99&gt;Client_Register!$Q$42,1+Assumptions!$F$114,1))</f>
        <v>0</v>
      </c>
      <c r="R100" s="60" t="n">
        <f aca="false">IF(R$5="A",Inputs_Actuals!R41,Client_Register!$G$42*R99*IF(Assumptions!R$99&gt;Client_Register!$Q$42,1+Assumptions!$F$114,1))</f>
        <v>0</v>
      </c>
      <c r="S100" s="60" t="n">
        <f aca="false">IF(S$5="A",Inputs_Actuals!S41,Client_Register!$G$42*S99*IF(Assumptions!S$99&gt;Client_Register!$Q$42,1+Assumptions!$F$114,1))</f>
        <v>0</v>
      </c>
      <c r="T100" s="60" t="n">
        <f aca="false">IF(T$5="A",Inputs_Actuals!T41,Client_Register!$G$42*T99*IF(Assumptions!T$99&gt;Client_Register!$Q$42,1+Assumptions!$F$114,1))</f>
        <v>0</v>
      </c>
      <c r="U100" s="60" t="n">
        <f aca="false">IF(U$5="A",Inputs_Actuals!U41,Client_Register!$G$42*U99*IF(Assumptions!U$99&gt;Client_Register!$Q$42,1+Assumptions!$F$114,1))</f>
        <v>0</v>
      </c>
      <c r="V100" s="60" t="n">
        <f aca="false">IF(V$5="A",Inputs_Actuals!V41,Client_Register!$G$42*V99*IF(Assumptions!V$99&gt;Client_Register!$Q$42,1+Assumptions!$F$114,1))</f>
        <v>0</v>
      </c>
      <c r="W100" s="60" t="n">
        <f aca="false">IF(W$5="A",Inputs_Actuals!W41,Client_Register!$G$42*W99*IF(Assumptions!W$99&gt;Client_Register!$Q$42,1+Assumptions!$F$114,1))</f>
        <v>0</v>
      </c>
      <c r="X100" s="60" t="n">
        <f aca="false">IF(X$5="A",Inputs_Actuals!X41,Client_Register!$G$42*X99*IF(Assumptions!X$99&gt;Client_Register!$Q$42,1+Assumptions!$F$114,1))</f>
        <v>0</v>
      </c>
      <c r="Y100" s="60" t="n">
        <f aca="false">IF(Y$5="A",Inputs_Actuals!Y41,Client_Register!$G$42*Y99*IF(Assumptions!Y$99&gt;Client_Register!$Q$42,1+Assumptions!$F$114,1))</f>
        <v>0</v>
      </c>
      <c r="Z100" s="60" t="n">
        <f aca="false">IF(Z$5="A",Inputs_Actuals!Z41,Client_Register!$G$42*Z99*IF(Assumptions!Z$99&gt;Client_Register!$Q$42,1+Assumptions!$F$114,1))</f>
        <v>0</v>
      </c>
      <c r="AA100" s="60" t="n">
        <f aca="false">IF(AA$5="A",Inputs_Actuals!AA41,Client_Register!$G$42*AA99*IF(Assumptions!AA$99&gt;Client_Register!$Q$42,1+Assumptions!$F$114,1))</f>
        <v>0</v>
      </c>
      <c r="AB100" s="60" t="n">
        <f aca="false">IF(AB$5="A",Inputs_Actuals!AB41,Client_Register!$G$42*AB99*IF(Assumptions!AB$99&gt;Client_Register!$Q$42,1+Assumptions!$F$114,1))</f>
        <v>0</v>
      </c>
    </row>
    <row r="101" customFormat="false" ht="15" hidden="false" customHeight="false" outlineLevel="0" collapsed="false">
      <c r="A101" s="28" t="s">
        <v>855</v>
      </c>
      <c r="B101" s="58" t="s">
        <v>856</v>
      </c>
      <c r="C101" s="59" t="n">
        <f aca="false">SUM(E101:P101)</f>
        <v>121500</v>
      </c>
      <c r="D101" s="59" t="n">
        <f aca="false">SUM(Q101:AB101)</f>
        <v>0</v>
      </c>
      <c r="E101" s="71" t="n">
        <f aca="false">E100/1</f>
        <v>13500</v>
      </c>
      <c r="F101" s="71" t="n">
        <f aca="false">F100/1</f>
        <v>13500</v>
      </c>
      <c r="G101" s="71" t="n">
        <f aca="false">G100/1</f>
        <v>13500</v>
      </c>
      <c r="H101" s="71" t="n">
        <f aca="false">H100/1</f>
        <v>13500</v>
      </c>
      <c r="I101" s="71" t="n">
        <f aca="false">I100/1</f>
        <v>13500</v>
      </c>
      <c r="J101" s="71" t="n">
        <f aca="false">J100/1</f>
        <v>13500</v>
      </c>
      <c r="K101" s="71" t="n">
        <f aca="false">K100/1</f>
        <v>13500</v>
      </c>
      <c r="L101" s="71" t="n">
        <f aca="false">L100/1</f>
        <v>13500</v>
      </c>
      <c r="M101" s="71" t="n">
        <f aca="false">M100/1</f>
        <v>13500</v>
      </c>
      <c r="N101" s="71" t="n">
        <f aca="false">N100/1</f>
        <v>0</v>
      </c>
      <c r="O101" s="71" t="n">
        <f aca="false">O100/1</f>
        <v>0</v>
      </c>
      <c r="P101" s="71" t="n">
        <f aca="false">P100/1</f>
        <v>0</v>
      </c>
      <c r="Q101" s="71" t="n">
        <f aca="false">Q100/1</f>
        <v>0</v>
      </c>
      <c r="R101" s="71" t="n">
        <f aca="false">R100/1</f>
        <v>0</v>
      </c>
      <c r="S101" s="71" t="n">
        <f aca="false">S100/1</f>
        <v>0</v>
      </c>
      <c r="T101" s="71" t="n">
        <f aca="false">T100/1</f>
        <v>0</v>
      </c>
      <c r="U101" s="71" t="n">
        <f aca="false">U100/1</f>
        <v>0</v>
      </c>
      <c r="V101" s="71" t="n">
        <f aca="false">V100/1</f>
        <v>0</v>
      </c>
      <c r="W101" s="71" t="n">
        <f aca="false">W100/1</f>
        <v>0</v>
      </c>
      <c r="X101" s="71" t="n">
        <f aca="false">X100/1</f>
        <v>0</v>
      </c>
      <c r="Y101" s="71" t="n">
        <f aca="false">Y100/1</f>
        <v>0</v>
      </c>
      <c r="Z101" s="71" t="n">
        <f aca="false">Z100/1</f>
        <v>0</v>
      </c>
      <c r="AA101" s="71" t="n">
        <f aca="false">AA100/1</f>
        <v>0</v>
      </c>
      <c r="AB101" s="71" t="n">
        <f aca="false">AB100/1</f>
        <v>0</v>
      </c>
    </row>
    <row r="102" customFormat="false" ht="15" hidden="false" customHeight="false" outlineLevel="0" collapsed="false">
      <c r="A102" s="28" t="s">
        <v>857</v>
      </c>
      <c r="B102" s="58" t="s">
        <v>858</v>
      </c>
      <c r="C102" s="66" t="n">
        <f aca="false">SUM(E102:P102)</f>
        <v>1260</v>
      </c>
      <c r="D102" s="66" t="n">
        <f aca="false">SUM(Q102:AB102)</f>
        <v>0</v>
      </c>
      <c r="E102" s="67" t="n">
        <f aca="false">Client_Register!$H$42*E99</f>
        <v>140</v>
      </c>
      <c r="F102" s="67" t="n">
        <f aca="false">Client_Register!$H$42*F99</f>
        <v>140</v>
      </c>
      <c r="G102" s="67" t="n">
        <f aca="false">Client_Register!$H$42*G99</f>
        <v>140</v>
      </c>
      <c r="H102" s="67" t="n">
        <f aca="false">Client_Register!$H$42*H99</f>
        <v>140</v>
      </c>
      <c r="I102" s="67" t="n">
        <f aca="false">Client_Register!$H$42*I99</f>
        <v>140</v>
      </c>
      <c r="J102" s="67" t="n">
        <f aca="false">Client_Register!$H$42*J99</f>
        <v>140</v>
      </c>
      <c r="K102" s="67" t="n">
        <f aca="false">Client_Register!$H$42*K99</f>
        <v>140</v>
      </c>
      <c r="L102" s="67" t="n">
        <f aca="false">Client_Register!$H$42*L99</f>
        <v>140</v>
      </c>
      <c r="M102" s="67" t="n">
        <f aca="false">Client_Register!$H$42*M99</f>
        <v>140</v>
      </c>
      <c r="N102" s="67" t="n">
        <f aca="false">Client_Register!$H$42*N99</f>
        <v>0</v>
      </c>
      <c r="O102" s="67" t="n">
        <f aca="false">Client_Register!$H$42*O99</f>
        <v>0</v>
      </c>
      <c r="P102" s="67" t="n">
        <f aca="false">Client_Register!$H$42*P99</f>
        <v>0</v>
      </c>
      <c r="Q102" s="67" t="n">
        <f aca="false">Client_Register!$H$42*Q99</f>
        <v>0</v>
      </c>
      <c r="R102" s="67" t="n">
        <f aca="false">Client_Register!$H$42*R99</f>
        <v>0</v>
      </c>
      <c r="S102" s="67" t="n">
        <f aca="false">Client_Register!$H$42*S99</f>
        <v>0</v>
      </c>
      <c r="T102" s="67" t="n">
        <f aca="false">Client_Register!$H$42*T99</f>
        <v>0</v>
      </c>
      <c r="U102" s="67" t="n">
        <f aca="false">Client_Register!$H$42*U99</f>
        <v>0</v>
      </c>
      <c r="V102" s="67" t="n">
        <f aca="false">Client_Register!$H$42*V99</f>
        <v>0</v>
      </c>
      <c r="W102" s="67" t="n">
        <f aca="false">Client_Register!$H$42*W99</f>
        <v>0</v>
      </c>
      <c r="X102" s="67" t="n">
        <f aca="false">Client_Register!$H$42*X99</f>
        <v>0</v>
      </c>
      <c r="Y102" s="67" t="n">
        <f aca="false">Client_Register!$H$42*Y99</f>
        <v>0</v>
      </c>
      <c r="Z102" s="67" t="n">
        <f aca="false">Client_Register!$H$42*Z99</f>
        <v>0</v>
      </c>
      <c r="AA102" s="67" t="n">
        <f aca="false">Client_Register!$H$42*AA99</f>
        <v>0</v>
      </c>
      <c r="AB102" s="67" t="n">
        <f aca="false">Client_Register!$H$42*AB99</f>
        <v>0</v>
      </c>
    </row>
    <row r="103" customFormat="false" ht="15" hidden="false" customHeight="false" outlineLevel="0" collapsed="false">
      <c r="A103" s="28" t="s">
        <v>802</v>
      </c>
      <c r="B103" s="58" t="s">
        <v>859</v>
      </c>
      <c r="C103" s="66" t="n">
        <f aca="false">SUM(E103:P103)</f>
        <v>1504.57875</v>
      </c>
      <c r="D103" s="66" t="n">
        <f aca="false">SUM(Q103:AB103)</f>
        <v>0</v>
      </c>
      <c r="E103" s="67" t="n">
        <f aca="false">IF(E$5="A",Inputs_Actuals!E42,E102*(1+Client_Register!$S$42))</f>
        <v>173.7</v>
      </c>
      <c r="F103" s="67" t="n">
        <f aca="false">IF(F$5="A",Inputs_Actuals!F42,F102*(1+Client_Register!$S$42))</f>
        <v>166.3</v>
      </c>
      <c r="G103" s="67" t="n">
        <f aca="false">IF(G$5="A",Inputs_Actuals!G42,G102*(1+Client_Register!$S$42))</f>
        <v>168.2</v>
      </c>
      <c r="H103" s="67" t="n">
        <f aca="false">IF(H$5="A",Inputs_Actuals!H42,H102*(1+Client_Register!$S$42))</f>
        <v>171.9</v>
      </c>
      <c r="I103" s="67" t="n">
        <f aca="false">IF(I$5="A",Inputs_Actuals!I42,I102*(1+Client_Register!$S$42))</f>
        <v>166.6</v>
      </c>
      <c r="J103" s="67" t="n">
        <f aca="false">IF(J$5="A",Inputs_Actuals!J42,J102*(1+Client_Register!$S$42))</f>
        <v>163.6</v>
      </c>
      <c r="K103" s="67" t="n">
        <f aca="false">IF(K$5="A",Inputs_Actuals!K42,K102*(1+Client_Register!$S$42))</f>
        <v>160.1</v>
      </c>
      <c r="L103" s="67" t="n">
        <f aca="false">IF(L$5="A",Inputs_Actuals!L42,L102*(1+Client_Register!$S$42))</f>
        <v>174.5</v>
      </c>
      <c r="M103" s="67" t="n">
        <f aca="false">IF(M$5="A",Inputs_Actuals!M42,M102*(1+Client_Register!$S$42))</f>
        <v>159.67875</v>
      </c>
      <c r="N103" s="67" t="n">
        <f aca="false">IF(N$5="A",Inputs_Actuals!N42,N102*(1+Client_Register!$S$42))</f>
        <v>0</v>
      </c>
      <c r="O103" s="67" t="n">
        <f aca="false">IF(O$5="A",Inputs_Actuals!O42,O102*(1+Client_Register!$S$42))</f>
        <v>0</v>
      </c>
      <c r="P103" s="67" t="n">
        <f aca="false">IF(P$5="A",Inputs_Actuals!P42,P102*(1+Client_Register!$S$42))</f>
        <v>0</v>
      </c>
      <c r="Q103" s="67" t="n">
        <f aca="false">IF(Q$5="A",Inputs_Actuals!Q42,Q102*(1+Client_Register!$S$42))</f>
        <v>0</v>
      </c>
      <c r="R103" s="67" t="n">
        <f aca="false">IF(R$5="A",Inputs_Actuals!R42,R102*(1+Client_Register!$S$42))</f>
        <v>0</v>
      </c>
      <c r="S103" s="67" t="n">
        <f aca="false">IF(S$5="A",Inputs_Actuals!S42,S102*(1+Client_Register!$S$42))</f>
        <v>0</v>
      </c>
      <c r="T103" s="67" t="n">
        <f aca="false">IF(T$5="A",Inputs_Actuals!T42,T102*(1+Client_Register!$S$42))</f>
        <v>0</v>
      </c>
      <c r="U103" s="67" t="n">
        <f aca="false">IF(U$5="A",Inputs_Actuals!U42,U102*(1+Client_Register!$S$42))</f>
        <v>0</v>
      </c>
      <c r="V103" s="67" t="n">
        <f aca="false">IF(V$5="A",Inputs_Actuals!V42,V102*(1+Client_Register!$S$42))</f>
        <v>0</v>
      </c>
      <c r="W103" s="67" t="n">
        <f aca="false">IF(W$5="A",Inputs_Actuals!W42,W102*(1+Client_Register!$S$42))</f>
        <v>0</v>
      </c>
      <c r="X103" s="67" t="n">
        <f aca="false">IF(X$5="A",Inputs_Actuals!X42,X102*(1+Client_Register!$S$42))</f>
        <v>0</v>
      </c>
      <c r="Y103" s="67" t="n">
        <f aca="false">IF(Y$5="A",Inputs_Actuals!Y42,Y102*(1+Client_Register!$S$42))</f>
        <v>0</v>
      </c>
      <c r="Z103" s="67" t="n">
        <f aca="false">IF(Z$5="A",Inputs_Actuals!Z42,Z102*(1+Client_Register!$S$42))</f>
        <v>0</v>
      </c>
      <c r="AA103" s="67" t="n">
        <f aca="false">IF(AA$5="A",Inputs_Actuals!AA42,AA102*(1+Client_Register!$S$42))</f>
        <v>0</v>
      </c>
      <c r="AB103" s="67" t="n">
        <f aca="false">IF(AB$5="A",Inputs_Actuals!AB42,AB102*(1+Client_Register!$S$42))</f>
        <v>0</v>
      </c>
    </row>
    <row r="104" customFormat="false" ht="15" hidden="false" customHeight="false" outlineLevel="0" collapsed="false">
      <c r="A104" s="28" t="s">
        <v>860</v>
      </c>
      <c r="B104" s="58" t="s">
        <v>861</v>
      </c>
      <c r="C104" s="66" t="n">
        <f aca="false">SUM(E104:P104)</f>
        <v>244.57875</v>
      </c>
      <c r="D104" s="66" t="n">
        <f aca="false">SUM(Q104:AB104)</f>
        <v>0</v>
      </c>
      <c r="E104" s="72" t="n">
        <f aca="false">E103-E102</f>
        <v>33.7</v>
      </c>
      <c r="F104" s="72" t="n">
        <f aca="false">F103-F102</f>
        <v>26.3</v>
      </c>
      <c r="G104" s="72" t="n">
        <f aca="false">G103-G102</f>
        <v>28.2</v>
      </c>
      <c r="H104" s="72" t="n">
        <f aca="false">H103-H102</f>
        <v>31.9</v>
      </c>
      <c r="I104" s="72" t="n">
        <f aca="false">I103-I102</f>
        <v>26.6</v>
      </c>
      <c r="J104" s="72" t="n">
        <f aca="false">J103-J102</f>
        <v>23.6</v>
      </c>
      <c r="K104" s="72" t="n">
        <f aca="false">K103-K102</f>
        <v>20.1</v>
      </c>
      <c r="L104" s="72" t="n">
        <f aca="false">L103-L102</f>
        <v>34.5</v>
      </c>
      <c r="M104" s="72" t="n">
        <f aca="false">M103-M102</f>
        <v>19.67875</v>
      </c>
      <c r="N104" s="72" t="n">
        <f aca="false">N103-N102</f>
        <v>0</v>
      </c>
      <c r="O104" s="72" t="n">
        <f aca="false">O103-O102</f>
        <v>0</v>
      </c>
      <c r="P104" s="72" t="n">
        <f aca="false">P103-P102</f>
        <v>0</v>
      </c>
      <c r="Q104" s="72" t="n">
        <f aca="false">Q103-Q102</f>
        <v>0</v>
      </c>
      <c r="R104" s="72" t="n">
        <f aca="false">R103-R102</f>
        <v>0</v>
      </c>
      <c r="S104" s="72" t="n">
        <f aca="false">S103-S102</f>
        <v>0</v>
      </c>
      <c r="T104" s="72" t="n">
        <f aca="false">T103-T102</f>
        <v>0</v>
      </c>
      <c r="U104" s="72" t="n">
        <f aca="false">U103-U102</f>
        <v>0</v>
      </c>
      <c r="V104" s="72" t="n">
        <f aca="false">V103-V102</f>
        <v>0</v>
      </c>
      <c r="W104" s="72" t="n">
        <f aca="false">W103-W102</f>
        <v>0</v>
      </c>
      <c r="X104" s="72" t="n">
        <f aca="false">X103-X102</f>
        <v>0</v>
      </c>
      <c r="Y104" s="72" t="n">
        <f aca="false">Y103-Y102</f>
        <v>0</v>
      </c>
      <c r="Z104" s="72" t="n">
        <f aca="false">Z103-Z102</f>
        <v>0</v>
      </c>
      <c r="AA104" s="72" t="n">
        <f aca="false">AA103-AA102</f>
        <v>0</v>
      </c>
      <c r="AB104" s="72" t="n">
        <f aca="false">AB103-AB102</f>
        <v>0</v>
      </c>
    </row>
    <row r="105" customFormat="false" ht="15" hidden="false" customHeight="false" outlineLevel="0" collapsed="false">
      <c r="A105" s="28" t="s">
        <v>862</v>
      </c>
      <c r="B105" s="58" t="s">
        <v>863</v>
      </c>
      <c r="C105" s="59" t="n">
        <f aca="false">SUM(E105:P105)</f>
        <v>11378.6838209206</v>
      </c>
      <c r="D105" s="59" t="n">
        <f aca="false">SUM(Q105:AB105)</f>
        <v>0</v>
      </c>
      <c r="E105" s="60" t="n">
        <f aca="false">E104*Utilisation!E88</f>
        <v>1567.84530448792</v>
      </c>
      <c r="F105" s="60" t="n">
        <f aca="false">F104*Utilisation!F88</f>
        <v>1223.57066789413</v>
      </c>
      <c r="G105" s="60" t="n">
        <f aca="false">G104*Utilisation!G88</f>
        <v>1311.96550701956</v>
      </c>
      <c r="H105" s="60" t="n">
        <f aca="false">H104*Utilisation!H88</f>
        <v>1484.10282531646</v>
      </c>
      <c r="I105" s="60" t="n">
        <f aca="false">I104*Utilisation!I88</f>
        <v>1237.52774775604</v>
      </c>
      <c r="J105" s="60" t="n">
        <f aca="false">J104*Utilisation!J88</f>
        <v>1097.95694913694</v>
      </c>
      <c r="K105" s="60" t="n">
        <f aca="false">K104*Utilisation!K88</f>
        <v>935.124350747986</v>
      </c>
      <c r="L105" s="60" t="n">
        <f aca="false">L104*Utilisation!L88</f>
        <v>1605.06418411968</v>
      </c>
      <c r="M105" s="60" t="n">
        <f aca="false">M104*Utilisation!M88</f>
        <v>915.526284441886</v>
      </c>
      <c r="N105" s="60" t="n">
        <f aca="false">N104*Utilisation!N88</f>
        <v>0</v>
      </c>
      <c r="O105" s="60" t="n">
        <f aca="false">O104*Utilisation!O88</f>
        <v>0</v>
      </c>
      <c r="P105" s="60" t="n">
        <f aca="false">P104*Utilisation!P88</f>
        <v>0</v>
      </c>
      <c r="Q105" s="60" t="n">
        <f aca="false">Q104*Utilisation!Q88</f>
        <v>0</v>
      </c>
      <c r="R105" s="60" t="n">
        <f aca="false">R104*Utilisation!R88</f>
        <v>0</v>
      </c>
      <c r="S105" s="60" t="n">
        <f aca="false">S104*Utilisation!S88</f>
        <v>0</v>
      </c>
      <c r="T105" s="60" t="n">
        <f aca="false">T104*Utilisation!T88</f>
        <v>0</v>
      </c>
      <c r="U105" s="60" t="n">
        <f aca="false">U104*Utilisation!U88</f>
        <v>0</v>
      </c>
      <c r="V105" s="60" t="n">
        <f aca="false">V104*Utilisation!V88</f>
        <v>0</v>
      </c>
      <c r="W105" s="60" t="n">
        <f aca="false">W104*Utilisation!W88</f>
        <v>0</v>
      </c>
      <c r="X105" s="60" t="n">
        <f aca="false">X104*Utilisation!X88</f>
        <v>0</v>
      </c>
      <c r="Y105" s="60" t="n">
        <f aca="false">Y104*Utilisation!Y88</f>
        <v>0</v>
      </c>
      <c r="Z105" s="60" t="n">
        <f aca="false">Z104*Utilisation!Z88</f>
        <v>0</v>
      </c>
      <c r="AA105" s="60" t="n">
        <f aca="false">AA104*Utilisation!AA88</f>
        <v>0</v>
      </c>
      <c r="AB105" s="60" t="n">
        <f aca="false">AB104*Utilisation!AB88</f>
        <v>0</v>
      </c>
    </row>
    <row r="106" customFormat="false" ht="15" hidden="false" customHeight="false" outlineLevel="0" collapsed="false">
      <c r="A106" s="28" t="s">
        <v>864</v>
      </c>
      <c r="B106" s="58" t="s">
        <v>865</v>
      </c>
      <c r="C106" s="59" t="n">
        <f aca="false">SUM(E106:P106)</f>
        <v>121500</v>
      </c>
      <c r="D106" s="59" t="n">
        <f aca="false">SUM(Q106:AB106)</f>
        <v>0</v>
      </c>
      <c r="E106" s="60" t="n">
        <f aca="false">IF(E$5="A",Inputs_Actuals!E43,E100)</f>
        <v>13500</v>
      </c>
      <c r="F106" s="60" t="n">
        <f aca="false">IF(F$5="A",Inputs_Actuals!F43,F100)</f>
        <v>13500</v>
      </c>
      <c r="G106" s="60" t="n">
        <f aca="false">IF(G$5="A",Inputs_Actuals!G43,G100)</f>
        <v>13500</v>
      </c>
      <c r="H106" s="60" t="n">
        <f aca="false">IF(H$5="A",Inputs_Actuals!H43,H100)</f>
        <v>13500</v>
      </c>
      <c r="I106" s="60" t="n">
        <f aca="false">IF(I$5="A",Inputs_Actuals!I43,I100)</f>
        <v>13500</v>
      </c>
      <c r="J106" s="60" t="n">
        <f aca="false">IF(J$5="A",Inputs_Actuals!J43,J100)</f>
        <v>13500</v>
      </c>
      <c r="K106" s="60" t="n">
        <f aca="false">IF(K$5="A",Inputs_Actuals!K43,K100)</f>
        <v>13500</v>
      </c>
      <c r="L106" s="60" t="n">
        <f aca="false">IF(L$5="A",Inputs_Actuals!L43,L100)</f>
        <v>13500</v>
      </c>
      <c r="M106" s="60" t="n">
        <f aca="false">IF(M$5="A",Inputs_Actuals!M43,M100)</f>
        <v>13500</v>
      </c>
      <c r="N106" s="60" t="n">
        <f aca="false">IF(N$5="A",Inputs_Actuals!N43,N100)</f>
        <v>0</v>
      </c>
      <c r="O106" s="60" t="n">
        <f aca="false">IF(O$5="A",Inputs_Actuals!O43,O100)</f>
        <v>0</v>
      </c>
      <c r="P106" s="60" t="n">
        <f aca="false">IF(P$5="A",Inputs_Actuals!P43,P100)</f>
        <v>0</v>
      </c>
      <c r="Q106" s="60" t="n">
        <f aca="false">IF(Q$5="A",Inputs_Actuals!Q43,Q100)</f>
        <v>0</v>
      </c>
      <c r="R106" s="60" t="n">
        <f aca="false">IF(R$5="A",Inputs_Actuals!R43,R100)</f>
        <v>0</v>
      </c>
      <c r="S106" s="60" t="n">
        <f aca="false">IF(S$5="A",Inputs_Actuals!S43,S100)</f>
        <v>0</v>
      </c>
      <c r="T106" s="60" t="n">
        <f aca="false">IF(T$5="A",Inputs_Actuals!T43,T100)</f>
        <v>0</v>
      </c>
      <c r="U106" s="60" t="n">
        <f aca="false">IF(U$5="A",Inputs_Actuals!U43,U100)</f>
        <v>0</v>
      </c>
      <c r="V106" s="60" t="n">
        <f aca="false">IF(V$5="A",Inputs_Actuals!V43,V100)</f>
        <v>0</v>
      </c>
      <c r="W106" s="60" t="n">
        <f aca="false">IF(W$5="A",Inputs_Actuals!W43,W100)</f>
        <v>0</v>
      </c>
      <c r="X106" s="60" t="n">
        <f aca="false">IF(X$5="A",Inputs_Actuals!X43,X100)</f>
        <v>0</v>
      </c>
      <c r="Y106" s="60" t="n">
        <f aca="false">IF(Y$5="A",Inputs_Actuals!Y43,Y100)</f>
        <v>0</v>
      </c>
      <c r="Z106" s="60" t="n">
        <f aca="false">IF(Z$5="A",Inputs_Actuals!Z43,Z100)</f>
        <v>0</v>
      </c>
      <c r="AA106" s="60" t="n">
        <f aca="false">IF(AA$5="A",Inputs_Actuals!AA43,AA100)</f>
        <v>0</v>
      </c>
      <c r="AB106" s="60" t="n">
        <f aca="false">IF(AB$5="A",Inputs_Actuals!AB43,AB100)</f>
        <v>0</v>
      </c>
    </row>
    <row r="108" customFormat="false" ht="15" hidden="false" customHeight="false" outlineLevel="0" collapsed="false">
      <c r="A108" s="22" t="s">
        <v>878</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row>
    <row r="109" customFormat="false" ht="15" hidden="false" customHeight="false" outlineLevel="0" collapsed="false">
      <c r="A109" s="28" t="s">
        <v>852</v>
      </c>
      <c r="B109" s="58" t="s">
        <v>79</v>
      </c>
      <c r="C109" s="110" t="n">
        <f aca="false">AVERAGE(E109:P109)</f>
        <v>1</v>
      </c>
      <c r="D109" s="110" t="n">
        <f aca="false">AVERAGE(Q109:AB109)</f>
        <v>0.95</v>
      </c>
      <c r="E109" s="93" t="n">
        <f aca="false">IF(Assumptions!E$99&lt;Client_Register!$P$43,0,IF(Assumptions!E$99&lt;=Client_Register!$Q$43,1,Client_Register!$N$43))</f>
        <v>1</v>
      </c>
      <c r="F109" s="93" t="n">
        <f aca="false">IF(Assumptions!F$99&lt;Client_Register!$P$43,0,IF(Assumptions!F$99&lt;=Client_Register!$Q$43,1,Client_Register!$N$43))</f>
        <v>1</v>
      </c>
      <c r="G109" s="93" t="n">
        <f aca="false">IF(Assumptions!G$99&lt;Client_Register!$P$43,0,IF(Assumptions!G$99&lt;=Client_Register!$Q$43,1,Client_Register!$N$43))</f>
        <v>1</v>
      </c>
      <c r="H109" s="93" t="n">
        <f aca="false">IF(Assumptions!H$99&lt;Client_Register!$P$43,0,IF(Assumptions!H$99&lt;=Client_Register!$Q$43,1,Client_Register!$N$43))</f>
        <v>1</v>
      </c>
      <c r="I109" s="93" t="n">
        <f aca="false">IF(Assumptions!I$99&lt;Client_Register!$P$43,0,IF(Assumptions!I$99&lt;=Client_Register!$Q$43,1,Client_Register!$N$43))</f>
        <v>1</v>
      </c>
      <c r="J109" s="93" t="n">
        <f aca="false">IF(Assumptions!J$99&lt;Client_Register!$P$43,0,IF(Assumptions!J$99&lt;=Client_Register!$Q$43,1,Client_Register!$N$43))</f>
        <v>1</v>
      </c>
      <c r="K109" s="93" t="n">
        <f aca="false">IF(Assumptions!K$99&lt;Client_Register!$P$43,0,IF(Assumptions!K$99&lt;=Client_Register!$Q$43,1,Client_Register!$N$43))</f>
        <v>1</v>
      </c>
      <c r="L109" s="93" t="n">
        <f aca="false">IF(Assumptions!L$99&lt;Client_Register!$P$43,0,IF(Assumptions!L$99&lt;=Client_Register!$Q$43,1,Client_Register!$N$43))</f>
        <v>1</v>
      </c>
      <c r="M109" s="93" t="n">
        <f aca="false">IF(Assumptions!M$99&lt;Client_Register!$P$43,0,IF(Assumptions!M$99&lt;=Client_Register!$Q$43,1,Client_Register!$N$43))</f>
        <v>1</v>
      </c>
      <c r="N109" s="93" t="n">
        <f aca="false">IF(Assumptions!N$99&lt;Client_Register!$P$43,0,IF(Assumptions!N$99&lt;=Client_Register!$Q$43,1,Client_Register!$N$43))</f>
        <v>1</v>
      </c>
      <c r="O109" s="93" t="n">
        <f aca="false">IF(Assumptions!O$99&lt;Client_Register!$P$43,0,IF(Assumptions!O$99&lt;=Client_Register!$Q$43,1,Client_Register!$N$43))</f>
        <v>1</v>
      </c>
      <c r="P109" s="93" t="n">
        <f aca="false">IF(Assumptions!P$99&lt;Client_Register!$P$43,0,IF(Assumptions!P$99&lt;=Client_Register!$Q$43,1,Client_Register!$N$43))</f>
        <v>1</v>
      </c>
      <c r="Q109" s="93" t="n">
        <f aca="false">IF(Assumptions!Q$99&lt;Client_Register!$P$43,0,IF(Assumptions!Q$99&lt;=Client_Register!$Q$43,1,Client_Register!$N$43))</f>
        <v>0.95</v>
      </c>
      <c r="R109" s="93" t="n">
        <f aca="false">IF(Assumptions!R$99&lt;Client_Register!$P$43,0,IF(Assumptions!R$99&lt;=Client_Register!$Q$43,1,Client_Register!$N$43))</f>
        <v>0.95</v>
      </c>
      <c r="S109" s="93" t="n">
        <f aca="false">IF(Assumptions!S$99&lt;Client_Register!$P$43,0,IF(Assumptions!S$99&lt;=Client_Register!$Q$43,1,Client_Register!$N$43))</f>
        <v>0.95</v>
      </c>
      <c r="T109" s="93" t="n">
        <f aca="false">IF(Assumptions!T$99&lt;Client_Register!$P$43,0,IF(Assumptions!T$99&lt;=Client_Register!$Q$43,1,Client_Register!$N$43))</f>
        <v>0.95</v>
      </c>
      <c r="U109" s="93" t="n">
        <f aca="false">IF(Assumptions!U$99&lt;Client_Register!$P$43,0,IF(Assumptions!U$99&lt;=Client_Register!$Q$43,1,Client_Register!$N$43))</f>
        <v>0.95</v>
      </c>
      <c r="V109" s="93" t="n">
        <f aca="false">IF(Assumptions!V$99&lt;Client_Register!$P$43,0,IF(Assumptions!V$99&lt;=Client_Register!$Q$43,1,Client_Register!$N$43))</f>
        <v>0.95</v>
      </c>
      <c r="W109" s="93" t="n">
        <f aca="false">IF(Assumptions!W$99&lt;Client_Register!$P$43,0,IF(Assumptions!W$99&lt;=Client_Register!$Q$43,1,Client_Register!$N$43))</f>
        <v>0.95</v>
      </c>
      <c r="X109" s="93" t="n">
        <f aca="false">IF(Assumptions!X$99&lt;Client_Register!$P$43,0,IF(Assumptions!X$99&lt;=Client_Register!$Q$43,1,Client_Register!$N$43))</f>
        <v>0.95</v>
      </c>
      <c r="Y109" s="93" t="n">
        <f aca="false">IF(Assumptions!Y$99&lt;Client_Register!$P$43,0,IF(Assumptions!Y$99&lt;=Client_Register!$Q$43,1,Client_Register!$N$43))</f>
        <v>0.95</v>
      </c>
      <c r="Z109" s="93" t="n">
        <f aca="false">IF(Assumptions!Z$99&lt;Client_Register!$P$43,0,IF(Assumptions!Z$99&lt;=Client_Register!$Q$43,1,Client_Register!$N$43))</f>
        <v>0.95</v>
      </c>
      <c r="AA109" s="93" t="n">
        <f aca="false">IF(Assumptions!AA$99&lt;Client_Register!$P$43,0,IF(Assumptions!AA$99&lt;=Client_Register!$Q$43,1,Client_Register!$N$43))</f>
        <v>0.95</v>
      </c>
      <c r="AB109" s="93" t="n">
        <f aca="false">IF(Assumptions!AB$99&lt;Client_Register!$P$43,0,IF(Assumptions!AB$99&lt;=Client_Register!$Q$43,1,Client_Register!$N$43))</f>
        <v>0.95</v>
      </c>
    </row>
    <row r="110" customFormat="false" ht="15" hidden="false" customHeight="false" outlineLevel="0" collapsed="false">
      <c r="A110" s="28" t="s">
        <v>874</v>
      </c>
      <c r="B110" s="58" t="s">
        <v>854</v>
      </c>
      <c r="C110" s="59" t="n">
        <f aca="false">SUM(E110:P110)</f>
        <v>108000</v>
      </c>
      <c r="D110" s="59" t="n">
        <f aca="false">SUM(Q110:AB110)</f>
        <v>106704</v>
      </c>
      <c r="E110" s="60" t="n">
        <f aca="false">IF(E$5="A",Inputs_Actuals!E44,Client_Register!$G$43*E109*IF(Assumptions!E$99&gt;Client_Register!$Q$43,1+Assumptions!$F$114,1))</f>
        <v>9000</v>
      </c>
      <c r="F110" s="60" t="n">
        <f aca="false">IF(F$5="A",Inputs_Actuals!F44,Client_Register!$G$43*F109*IF(Assumptions!F$99&gt;Client_Register!$Q$43,1+Assumptions!$F$114,1))</f>
        <v>9000</v>
      </c>
      <c r="G110" s="60" t="n">
        <f aca="false">IF(G$5="A",Inputs_Actuals!G44,Client_Register!$G$43*G109*IF(Assumptions!G$99&gt;Client_Register!$Q$43,1+Assumptions!$F$114,1))</f>
        <v>9000</v>
      </c>
      <c r="H110" s="60" t="n">
        <f aca="false">IF(H$5="A",Inputs_Actuals!H44,Client_Register!$G$43*H109*IF(Assumptions!H$99&gt;Client_Register!$Q$43,1+Assumptions!$F$114,1))</f>
        <v>9000</v>
      </c>
      <c r="I110" s="60" t="n">
        <f aca="false">IF(I$5="A",Inputs_Actuals!I44,Client_Register!$G$43*I109*IF(Assumptions!I$99&gt;Client_Register!$Q$43,1+Assumptions!$F$114,1))</f>
        <v>9000</v>
      </c>
      <c r="J110" s="60" t="n">
        <f aca="false">IF(J$5="A",Inputs_Actuals!J44,Client_Register!$G$43*J109*IF(Assumptions!J$99&gt;Client_Register!$Q$43,1+Assumptions!$F$114,1))</f>
        <v>9000</v>
      </c>
      <c r="K110" s="60" t="n">
        <f aca="false">IF(K$5="A",Inputs_Actuals!K44,Client_Register!$G$43*K109*IF(Assumptions!K$99&gt;Client_Register!$Q$43,1+Assumptions!$F$114,1))</f>
        <v>9000</v>
      </c>
      <c r="L110" s="60" t="n">
        <f aca="false">IF(L$5="A",Inputs_Actuals!L44,Client_Register!$G$43*L109*IF(Assumptions!L$99&gt;Client_Register!$Q$43,1+Assumptions!$F$114,1))</f>
        <v>9000</v>
      </c>
      <c r="M110" s="60" t="n">
        <f aca="false">IF(M$5="A",Inputs_Actuals!M44,Client_Register!$G$43*M109*IF(Assumptions!M$99&gt;Client_Register!$Q$43,1+Assumptions!$F$114,1))</f>
        <v>9000</v>
      </c>
      <c r="N110" s="60" t="n">
        <f aca="false">IF(N$5="A",Inputs_Actuals!N44,Client_Register!$G$43*N109*IF(Assumptions!N$99&gt;Client_Register!$Q$43,1+Assumptions!$F$114,1))</f>
        <v>9000</v>
      </c>
      <c r="O110" s="60" t="n">
        <f aca="false">IF(O$5="A",Inputs_Actuals!O44,Client_Register!$G$43*O109*IF(Assumptions!O$99&gt;Client_Register!$Q$43,1+Assumptions!$F$114,1))</f>
        <v>9000</v>
      </c>
      <c r="P110" s="60" t="n">
        <f aca="false">IF(P$5="A",Inputs_Actuals!P44,Client_Register!$G$43*P109*IF(Assumptions!P$99&gt;Client_Register!$Q$43,1+Assumptions!$F$114,1))</f>
        <v>9000</v>
      </c>
      <c r="Q110" s="60" t="n">
        <f aca="false">IF(Q$5="A",Inputs_Actuals!Q44,Client_Register!$G$43*Q109*IF(Assumptions!Q$99&gt;Client_Register!$Q$43,1+Assumptions!$F$114,1))</f>
        <v>8892</v>
      </c>
      <c r="R110" s="60" t="n">
        <f aca="false">IF(R$5="A",Inputs_Actuals!R44,Client_Register!$G$43*R109*IF(Assumptions!R$99&gt;Client_Register!$Q$43,1+Assumptions!$F$114,1))</f>
        <v>8892</v>
      </c>
      <c r="S110" s="60" t="n">
        <f aca="false">IF(S$5="A",Inputs_Actuals!S44,Client_Register!$G$43*S109*IF(Assumptions!S$99&gt;Client_Register!$Q$43,1+Assumptions!$F$114,1))</f>
        <v>8892</v>
      </c>
      <c r="T110" s="60" t="n">
        <f aca="false">IF(T$5="A",Inputs_Actuals!T44,Client_Register!$G$43*T109*IF(Assumptions!T$99&gt;Client_Register!$Q$43,1+Assumptions!$F$114,1))</f>
        <v>8892</v>
      </c>
      <c r="U110" s="60" t="n">
        <f aca="false">IF(U$5="A",Inputs_Actuals!U44,Client_Register!$G$43*U109*IF(Assumptions!U$99&gt;Client_Register!$Q$43,1+Assumptions!$F$114,1))</f>
        <v>8892</v>
      </c>
      <c r="V110" s="60" t="n">
        <f aca="false">IF(V$5="A",Inputs_Actuals!V44,Client_Register!$G$43*V109*IF(Assumptions!V$99&gt;Client_Register!$Q$43,1+Assumptions!$F$114,1))</f>
        <v>8892</v>
      </c>
      <c r="W110" s="60" t="n">
        <f aca="false">IF(W$5="A",Inputs_Actuals!W44,Client_Register!$G$43*W109*IF(Assumptions!W$99&gt;Client_Register!$Q$43,1+Assumptions!$F$114,1))</f>
        <v>8892</v>
      </c>
      <c r="X110" s="60" t="n">
        <f aca="false">IF(X$5="A",Inputs_Actuals!X44,Client_Register!$G$43*X109*IF(Assumptions!X$99&gt;Client_Register!$Q$43,1+Assumptions!$F$114,1))</f>
        <v>8892</v>
      </c>
      <c r="Y110" s="60" t="n">
        <f aca="false">IF(Y$5="A",Inputs_Actuals!Y44,Client_Register!$G$43*Y109*IF(Assumptions!Y$99&gt;Client_Register!$Q$43,1+Assumptions!$F$114,1))</f>
        <v>8892</v>
      </c>
      <c r="Z110" s="60" t="n">
        <f aca="false">IF(Z$5="A",Inputs_Actuals!Z44,Client_Register!$G$43*Z109*IF(Assumptions!Z$99&gt;Client_Register!$Q$43,1+Assumptions!$F$114,1))</f>
        <v>8892</v>
      </c>
      <c r="AA110" s="60" t="n">
        <f aca="false">IF(AA$5="A",Inputs_Actuals!AA44,Client_Register!$G$43*AA109*IF(Assumptions!AA$99&gt;Client_Register!$Q$43,1+Assumptions!$F$114,1))</f>
        <v>8892</v>
      </c>
      <c r="AB110" s="60" t="n">
        <f aca="false">IF(AB$5="A",Inputs_Actuals!AB44,Client_Register!$G$43*AB109*IF(Assumptions!AB$99&gt;Client_Register!$Q$43,1+Assumptions!$F$114,1))</f>
        <v>8892</v>
      </c>
    </row>
    <row r="111" customFormat="false" ht="15" hidden="false" customHeight="false" outlineLevel="0" collapsed="false">
      <c r="A111" s="28" t="s">
        <v>855</v>
      </c>
      <c r="B111" s="58" t="s">
        <v>856</v>
      </c>
      <c r="C111" s="59" t="n">
        <f aca="false">SUM(E111:P111)</f>
        <v>108000</v>
      </c>
      <c r="D111" s="59" t="n">
        <f aca="false">SUM(Q111:AB111)</f>
        <v>106704</v>
      </c>
      <c r="E111" s="71" t="n">
        <f aca="false">E110/1</f>
        <v>9000</v>
      </c>
      <c r="F111" s="71" t="n">
        <f aca="false">F110/1</f>
        <v>9000</v>
      </c>
      <c r="G111" s="71" t="n">
        <f aca="false">G110/1</f>
        <v>9000</v>
      </c>
      <c r="H111" s="71" t="n">
        <f aca="false">H110/1</f>
        <v>9000</v>
      </c>
      <c r="I111" s="71" t="n">
        <f aca="false">I110/1</f>
        <v>9000</v>
      </c>
      <c r="J111" s="71" t="n">
        <f aca="false">J110/1</f>
        <v>9000</v>
      </c>
      <c r="K111" s="71" t="n">
        <f aca="false">K110/1</f>
        <v>9000</v>
      </c>
      <c r="L111" s="71" t="n">
        <f aca="false">L110/1</f>
        <v>9000</v>
      </c>
      <c r="M111" s="71" t="n">
        <f aca="false">M110/1</f>
        <v>9000</v>
      </c>
      <c r="N111" s="71" t="n">
        <f aca="false">N110/1</f>
        <v>9000</v>
      </c>
      <c r="O111" s="71" t="n">
        <f aca="false">O110/1</f>
        <v>9000</v>
      </c>
      <c r="P111" s="71" t="n">
        <f aca="false">P110/1</f>
        <v>9000</v>
      </c>
      <c r="Q111" s="71" t="n">
        <f aca="false">Q110/1</f>
        <v>8892</v>
      </c>
      <c r="R111" s="71" t="n">
        <f aca="false">R110/1</f>
        <v>8892</v>
      </c>
      <c r="S111" s="71" t="n">
        <f aca="false">S110/1</f>
        <v>8892</v>
      </c>
      <c r="T111" s="71" t="n">
        <f aca="false">T110/1</f>
        <v>8892</v>
      </c>
      <c r="U111" s="71" t="n">
        <f aca="false">U110/1</f>
        <v>8892</v>
      </c>
      <c r="V111" s="71" t="n">
        <f aca="false">V110/1</f>
        <v>8892</v>
      </c>
      <c r="W111" s="71" t="n">
        <f aca="false">W110/1</f>
        <v>8892</v>
      </c>
      <c r="X111" s="71" t="n">
        <f aca="false">X110/1</f>
        <v>8892</v>
      </c>
      <c r="Y111" s="71" t="n">
        <f aca="false">Y110/1</f>
        <v>8892</v>
      </c>
      <c r="Z111" s="71" t="n">
        <f aca="false">Z110/1</f>
        <v>8892</v>
      </c>
      <c r="AA111" s="71" t="n">
        <f aca="false">AA110/1</f>
        <v>8892</v>
      </c>
      <c r="AB111" s="71" t="n">
        <f aca="false">AB110/1</f>
        <v>8892</v>
      </c>
    </row>
    <row r="112" customFormat="false" ht="15" hidden="false" customHeight="false" outlineLevel="0" collapsed="false">
      <c r="A112" s="28" t="s">
        <v>857</v>
      </c>
      <c r="B112" s="58" t="s">
        <v>858</v>
      </c>
      <c r="C112" s="66" t="n">
        <f aca="false">SUM(E112:P112)</f>
        <v>1140</v>
      </c>
      <c r="D112" s="66" t="n">
        <f aca="false">SUM(Q112:AB112)</f>
        <v>1083</v>
      </c>
      <c r="E112" s="67" t="n">
        <f aca="false">Client_Register!$H$43*E109</f>
        <v>95</v>
      </c>
      <c r="F112" s="67" t="n">
        <f aca="false">Client_Register!$H$43*F109</f>
        <v>95</v>
      </c>
      <c r="G112" s="67" t="n">
        <f aca="false">Client_Register!$H$43*G109</f>
        <v>95</v>
      </c>
      <c r="H112" s="67" t="n">
        <f aca="false">Client_Register!$H$43*H109</f>
        <v>95</v>
      </c>
      <c r="I112" s="67" t="n">
        <f aca="false">Client_Register!$H$43*I109</f>
        <v>95</v>
      </c>
      <c r="J112" s="67" t="n">
        <f aca="false">Client_Register!$H$43*J109</f>
        <v>95</v>
      </c>
      <c r="K112" s="67" t="n">
        <f aca="false">Client_Register!$H$43*K109</f>
        <v>95</v>
      </c>
      <c r="L112" s="67" t="n">
        <f aca="false">Client_Register!$H$43*L109</f>
        <v>95</v>
      </c>
      <c r="M112" s="67" t="n">
        <f aca="false">Client_Register!$H$43*M109</f>
        <v>95</v>
      </c>
      <c r="N112" s="67" t="n">
        <f aca="false">Client_Register!$H$43*N109</f>
        <v>95</v>
      </c>
      <c r="O112" s="67" t="n">
        <f aca="false">Client_Register!$H$43*O109</f>
        <v>95</v>
      </c>
      <c r="P112" s="67" t="n">
        <f aca="false">Client_Register!$H$43*P109</f>
        <v>95</v>
      </c>
      <c r="Q112" s="67" t="n">
        <f aca="false">Client_Register!$H$43*Q109</f>
        <v>90.25</v>
      </c>
      <c r="R112" s="67" t="n">
        <f aca="false">Client_Register!$H$43*R109</f>
        <v>90.25</v>
      </c>
      <c r="S112" s="67" t="n">
        <f aca="false">Client_Register!$H$43*S109</f>
        <v>90.25</v>
      </c>
      <c r="T112" s="67" t="n">
        <f aca="false">Client_Register!$H$43*T109</f>
        <v>90.25</v>
      </c>
      <c r="U112" s="67" t="n">
        <f aca="false">Client_Register!$H$43*U109</f>
        <v>90.25</v>
      </c>
      <c r="V112" s="67" t="n">
        <f aca="false">Client_Register!$H$43*V109</f>
        <v>90.25</v>
      </c>
      <c r="W112" s="67" t="n">
        <f aca="false">Client_Register!$H$43*W109</f>
        <v>90.25</v>
      </c>
      <c r="X112" s="67" t="n">
        <f aca="false">Client_Register!$H$43*X109</f>
        <v>90.25</v>
      </c>
      <c r="Y112" s="67" t="n">
        <f aca="false">Client_Register!$H$43*Y109</f>
        <v>90.25</v>
      </c>
      <c r="Z112" s="67" t="n">
        <f aca="false">Client_Register!$H$43*Z109</f>
        <v>90.25</v>
      </c>
      <c r="AA112" s="67" t="n">
        <f aca="false">Client_Register!$H$43*AA109</f>
        <v>90.25</v>
      </c>
      <c r="AB112" s="67" t="n">
        <f aca="false">Client_Register!$H$43*AB109</f>
        <v>90.25</v>
      </c>
    </row>
    <row r="113" customFormat="false" ht="15" hidden="false" customHeight="false" outlineLevel="0" collapsed="false">
      <c r="A113" s="28" t="s">
        <v>802</v>
      </c>
      <c r="B113" s="58" t="s">
        <v>859</v>
      </c>
      <c r="C113" s="66" t="n">
        <f aca="false">SUM(E113:P113)</f>
        <v>1201.29</v>
      </c>
      <c r="D113" s="66" t="n">
        <f aca="false">SUM(Q113:AB113)</f>
        <v>1128.2865</v>
      </c>
      <c r="E113" s="67" t="n">
        <f aca="false">IF(E$5="A",Inputs_Actuals!E45,E112*(1+Client_Register!$S$43))</f>
        <v>104</v>
      </c>
      <c r="F113" s="67" t="n">
        <f aca="false">IF(F$5="A",Inputs_Actuals!F45,F112*(1+Client_Register!$S$43))</f>
        <v>95.3</v>
      </c>
      <c r="G113" s="67" t="n">
        <f aca="false">IF(G$5="A",Inputs_Actuals!G45,G112*(1+Client_Register!$S$43))</f>
        <v>100.5</v>
      </c>
      <c r="H113" s="67" t="n">
        <f aca="false">IF(H$5="A",Inputs_Actuals!H45,H112*(1+Client_Register!$S$43))</f>
        <v>104.8</v>
      </c>
      <c r="I113" s="67" t="n">
        <f aca="false">IF(I$5="A",Inputs_Actuals!I45,I112*(1+Client_Register!$S$43))</f>
        <v>99.5</v>
      </c>
      <c r="J113" s="67" t="n">
        <f aca="false">IF(J$5="A",Inputs_Actuals!J45,J112*(1+Client_Register!$S$43))</f>
        <v>102.4</v>
      </c>
      <c r="K113" s="67" t="n">
        <f aca="false">IF(K$5="A",Inputs_Actuals!K45,K112*(1+Client_Register!$S$43))</f>
        <v>96.2</v>
      </c>
      <c r="L113" s="67" t="n">
        <f aca="false">IF(L$5="A",Inputs_Actuals!L45,L112*(1+Client_Register!$S$43))</f>
        <v>102.7</v>
      </c>
      <c r="M113" s="67" t="n">
        <f aca="false">IF(M$5="A",Inputs_Actuals!M45,M112*(1+Client_Register!$S$43))</f>
        <v>98.9725</v>
      </c>
      <c r="N113" s="67" t="n">
        <f aca="false">IF(N$5="A",Inputs_Actuals!N45,N112*(1+Client_Register!$S$43))</f>
        <v>98.9725</v>
      </c>
      <c r="O113" s="67" t="n">
        <f aca="false">IF(O$5="A",Inputs_Actuals!O45,O112*(1+Client_Register!$S$43))</f>
        <v>98.9725</v>
      </c>
      <c r="P113" s="67" t="n">
        <f aca="false">IF(P$5="A",Inputs_Actuals!P45,P112*(1+Client_Register!$S$43))</f>
        <v>98.9725</v>
      </c>
      <c r="Q113" s="67" t="n">
        <f aca="false">IF(Q$5="A",Inputs_Actuals!Q45,Q112*(1+Client_Register!$S$43))</f>
        <v>94.023875</v>
      </c>
      <c r="R113" s="67" t="n">
        <f aca="false">IF(R$5="A",Inputs_Actuals!R45,R112*(1+Client_Register!$S$43))</f>
        <v>94.023875</v>
      </c>
      <c r="S113" s="67" t="n">
        <f aca="false">IF(S$5="A",Inputs_Actuals!S45,S112*(1+Client_Register!$S$43))</f>
        <v>94.023875</v>
      </c>
      <c r="T113" s="67" t="n">
        <f aca="false">IF(T$5="A",Inputs_Actuals!T45,T112*(1+Client_Register!$S$43))</f>
        <v>94.023875</v>
      </c>
      <c r="U113" s="67" t="n">
        <f aca="false">IF(U$5="A",Inputs_Actuals!U45,U112*(1+Client_Register!$S$43))</f>
        <v>94.023875</v>
      </c>
      <c r="V113" s="67" t="n">
        <f aca="false">IF(V$5="A",Inputs_Actuals!V45,V112*(1+Client_Register!$S$43))</f>
        <v>94.023875</v>
      </c>
      <c r="W113" s="67" t="n">
        <f aca="false">IF(W$5="A",Inputs_Actuals!W45,W112*(1+Client_Register!$S$43))</f>
        <v>94.023875</v>
      </c>
      <c r="X113" s="67" t="n">
        <f aca="false">IF(X$5="A",Inputs_Actuals!X45,X112*(1+Client_Register!$S$43))</f>
        <v>94.023875</v>
      </c>
      <c r="Y113" s="67" t="n">
        <f aca="false">IF(Y$5="A",Inputs_Actuals!Y45,Y112*(1+Client_Register!$S$43))</f>
        <v>94.023875</v>
      </c>
      <c r="Z113" s="67" t="n">
        <f aca="false">IF(Z$5="A",Inputs_Actuals!Z45,Z112*(1+Client_Register!$S$43))</f>
        <v>94.023875</v>
      </c>
      <c r="AA113" s="67" t="n">
        <f aca="false">IF(AA$5="A",Inputs_Actuals!AA45,AA112*(1+Client_Register!$S$43))</f>
        <v>94.023875</v>
      </c>
      <c r="AB113" s="67" t="n">
        <f aca="false">IF(AB$5="A",Inputs_Actuals!AB45,AB112*(1+Client_Register!$S$43))</f>
        <v>94.023875</v>
      </c>
    </row>
    <row r="114" customFormat="false" ht="15" hidden="false" customHeight="false" outlineLevel="0" collapsed="false">
      <c r="A114" s="28" t="s">
        <v>860</v>
      </c>
      <c r="B114" s="58" t="s">
        <v>861</v>
      </c>
      <c r="C114" s="66" t="n">
        <f aca="false">SUM(E114:P114)</f>
        <v>61.29</v>
      </c>
      <c r="D114" s="66" t="n">
        <f aca="false">SUM(Q114:AB114)</f>
        <v>45.2864999999999</v>
      </c>
      <c r="E114" s="72" t="n">
        <f aca="false">E113-E112</f>
        <v>9</v>
      </c>
      <c r="F114" s="72" t="n">
        <f aca="false">F113-F112</f>
        <v>0.299999999999997</v>
      </c>
      <c r="G114" s="72" t="n">
        <f aca="false">G113-G112</f>
        <v>5.5</v>
      </c>
      <c r="H114" s="72" t="n">
        <f aca="false">H113-H112</f>
        <v>9.8</v>
      </c>
      <c r="I114" s="72" t="n">
        <f aca="false">I113-I112</f>
        <v>4.5</v>
      </c>
      <c r="J114" s="72" t="n">
        <f aca="false">J113-J112</f>
        <v>7.40000000000001</v>
      </c>
      <c r="K114" s="72" t="n">
        <f aca="false">K113-K112</f>
        <v>1.2</v>
      </c>
      <c r="L114" s="72" t="n">
        <f aca="false">L113-L112</f>
        <v>7.7</v>
      </c>
      <c r="M114" s="72" t="n">
        <f aca="false">M113-M112</f>
        <v>3.9725</v>
      </c>
      <c r="N114" s="72" t="n">
        <f aca="false">N113-N112</f>
        <v>3.9725</v>
      </c>
      <c r="O114" s="72" t="n">
        <f aca="false">O113-O112</f>
        <v>3.9725</v>
      </c>
      <c r="P114" s="72" t="n">
        <f aca="false">P113-P112</f>
        <v>3.9725</v>
      </c>
      <c r="Q114" s="72" t="n">
        <f aca="false">Q113-Q112</f>
        <v>3.77387499999999</v>
      </c>
      <c r="R114" s="72" t="n">
        <f aca="false">R113-R112</f>
        <v>3.77387499999999</v>
      </c>
      <c r="S114" s="72" t="n">
        <f aca="false">S113-S112</f>
        <v>3.77387499999999</v>
      </c>
      <c r="T114" s="72" t="n">
        <f aca="false">T113-T112</f>
        <v>3.77387499999999</v>
      </c>
      <c r="U114" s="72" t="n">
        <f aca="false">U113-U112</f>
        <v>3.77387499999999</v>
      </c>
      <c r="V114" s="72" t="n">
        <f aca="false">V113-V112</f>
        <v>3.77387499999999</v>
      </c>
      <c r="W114" s="72" t="n">
        <f aca="false">W113-W112</f>
        <v>3.77387499999999</v>
      </c>
      <c r="X114" s="72" t="n">
        <f aca="false">X113-X112</f>
        <v>3.77387499999999</v>
      </c>
      <c r="Y114" s="72" t="n">
        <f aca="false">Y113-Y112</f>
        <v>3.77387499999999</v>
      </c>
      <c r="Z114" s="72" t="n">
        <f aca="false">Z113-Z112</f>
        <v>3.77387499999999</v>
      </c>
      <c r="AA114" s="72" t="n">
        <f aca="false">AA113-AA112</f>
        <v>3.77387499999999</v>
      </c>
      <c r="AB114" s="72" t="n">
        <f aca="false">AB113-AB112</f>
        <v>3.77387499999999</v>
      </c>
    </row>
    <row r="115" customFormat="false" ht="15" hidden="false" customHeight="false" outlineLevel="0" collapsed="false">
      <c r="A115" s="28" t="s">
        <v>862</v>
      </c>
      <c r="B115" s="58" t="s">
        <v>863</v>
      </c>
      <c r="C115" s="59" t="n">
        <f aca="false">SUM(E115:P115)</f>
        <v>2860.49076897583</v>
      </c>
      <c r="D115" s="59" t="n">
        <f aca="false">SUM(Q115:AB115)</f>
        <v>2208.69616403392</v>
      </c>
      <c r="E115" s="60" t="n">
        <f aca="false">E114*Utilisation!E89</f>
        <v>420.04269735328</v>
      </c>
      <c r="F115" s="60" t="n">
        <f aca="false">F114*Utilisation!F89</f>
        <v>14.0014232451092</v>
      </c>
      <c r="G115" s="60" t="n">
        <f aca="false">G114*Utilisation!G89</f>
        <v>256.692759493671</v>
      </c>
      <c r="H115" s="60" t="n">
        <f aca="false">H114*Utilisation!H89</f>
        <v>457.379826006904</v>
      </c>
      <c r="I115" s="60" t="n">
        <f aca="false">I114*Utilisation!I89</f>
        <v>210.02134867664</v>
      </c>
      <c r="J115" s="60" t="n">
        <f aca="false">J114*Utilisation!J89</f>
        <v>345.36844004603</v>
      </c>
      <c r="K115" s="60" t="n">
        <f aca="false">K114*Utilisation!K89</f>
        <v>56.0056929804374</v>
      </c>
      <c r="L115" s="60" t="n">
        <f aca="false">L114*Utilisation!L89</f>
        <v>359.369863291139</v>
      </c>
      <c r="M115" s="60" t="n">
        <f aca="false">M114*Utilisation!M89</f>
        <v>185.402179470656</v>
      </c>
      <c r="N115" s="60" t="n">
        <f aca="false">N114*Utilisation!N89</f>
        <v>185.402179470656</v>
      </c>
      <c r="O115" s="60" t="n">
        <f aca="false">O114*Utilisation!O89</f>
        <v>185.402179470656</v>
      </c>
      <c r="P115" s="60" t="n">
        <f aca="false">P114*Utilisation!P89</f>
        <v>185.402179470656</v>
      </c>
      <c r="Q115" s="60" t="n">
        <f aca="false">Q114*Utilisation!Q89</f>
        <v>184.058013669493</v>
      </c>
      <c r="R115" s="60" t="n">
        <f aca="false">R114*Utilisation!R89</f>
        <v>184.058013669493</v>
      </c>
      <c r="S115" s="60" t="n">
        <f aca="false">S114*Utilisation!S89</f>
        <v>184.058013669493</v>
      </c>
      <c r="T115" s="60" t="n">
        <f aca="false">T114*Utilisation!T89</f>
        <v>184.058013669493</v>
      </c>
      <c r="U115" s="60" t="n">
        <f aca="false">U114*Utilisation!U89</f>
        <v>184.058013669493</v>
      </c>
      <c r="V115" s="60" t="n">
        <f aca="false">V114*Utilisation!V89</f>
        <v>184.058013669493</v>
      </c>
      <c r="W115" s="60" t="n">
        <f aca="false">W114*Utilisation!W89</f>
        <v>184.058013669493</v>
      </c>
      <c r="X115" s="60" t="n">
        <f aca="false">X114*Utilisation!X89</f>
        <v>184.058013669493</v>
      </c>
      <c r="Y115" s="60" t="n">
        <f aca="false">Y114*Utilisation!Y89</f>
        <v>184.058013669493</v>
      </c>
      <c r="Z115" s="60" t="n">
        <f aca="false">Z114*Utilisation!Z89</f>
        <v>184.058013669493</v>
      </c>
      <c r="AA115" s="60" t="n">
        <f aca="false">AA114*Utilisation!AA89</f>
        <v>184.058013669493</v>
      </c>
      <c r="AB115" s="60" t="n">
        <f aca="false">AB114*Utilisation!AB89</f>
        <v>184.058013669493</v>
      </c>
    </row>
    <row r="116" customFormat="false" ht="15" hidden="false" customHeight="false" outlineLevel="0" collapsed="false">
      <c r="A116" s="28" t="s">
        <v>864</v>
      </c>
      <c r="B116" s="58" t="s">
        <v>865</v>
      </c>
      <c r="C116" s="59" t="n">
        <f aca="false">SUM(E116:P116)</f>
        <v>108000</v>
      </c>
      <c r="D116" s="59" t="n">
        <f aca="false">SUM(Q116:AB116)</f>
        <v>106704</v>
      </c>
      <c r="E116" s="60" t="n">
        <f aca="false">IF(E$5="A",Inputs_Actuals!E46,E110)</f>
        <v>9000</v>
      </c>
      <c r="F116" s="60" t="n">
        <f aca="false">IF(F$5="A",Inputs_Actuals!F46,F110)</f>
        <v>9000</v>
      </c>
      <c r="G116" s="60" t="n">
        <f aca="false">IF(G$5="A",Inputs_Actuals!G46,G110)</f>
        <v>9000</v>
      </c>
      <c r="H116" s="60" t="n">
        <f aca="false">IF(H$5="A",Inputs_Actuals!H46,H110)</f>
        <v>9000</v>
      </c>
      <c r="I116" s="60" t="n">
        <f aca="false">IF(I$5="A",Inputs_Actuals!I46,I110)</f>
        <v>9000</v>
      </c>
      <c r="J116" s="60" t="n">
        <f aca="false">IF(J$5="A",Inputs_Actuals!J46,J110)</f>
        <v>9000</v>
      </c>
      <c r="K116" s="60" t="n">
        <f aca="false">IF(K$5="A",Inputs_Actuals!K46,K110)</f>
        <v>9000</v>
      </c>
      <c r="L116" s="60" t="n">
        <f aca="false">IF(L$5="A",Inputs_Actuals!L46,L110)</f>
        <v>9000</v>
      </c>
      <c r="M116" s="60" t="n">
        <f aca="false">IF(M$5="A",Inputs_Actuals!M46,M110)</f>
        <v>9000</v>
      </c>
      <c r="N116" s="60" t="n">
        <f aca="false">IF(N$5="A",Inputs_Actuals!N46,N110)</f>
        <v>9000</v>
      </c>
      <c r="O116" s="60" t="n">
        <f aca="false">IF(O$5="A",Inputs_Actuals!O46,O110)</f>
        <v>9000</v>
      </c>
      <c r="P116" s="60" t="n">
        <f aca="false">IF(P$5="A",Inputs_Actuals!P46,P110)</f>
        <v>9000</v>
      </c>
      <c r="Q116" s="60" t="n">
        <f aca="false">IF(Q$5="A",Inputs_Actuals!Q46,Q110)</f>
        <v>8892</v>
      </c>
      <c r="R116" s="60" t="n">
        <f aca="false">IF(R$5="A",Inputs_Actuals!R46,R110)</f>
        <v>8892</v>
      </c>
      <c r="S116" s="60" t="n">
        <f aca="false">IF(S$5="A",Inputs_Actuals!S46,S110)</f>
        <v>8892</v>
      </c>
      <c r="T116" s="60" t="n">
        <f aca="false">IF(T$5="A",Inputs_Actuals!T46,T110)</f>
        <v>8892</v>
      </c>
      <c r="U116" s="60" t="n">
        <f aca="false">IF(U$5="A",Inputs_Actuals!U46,U110)</f>
        <v>8892</v>
      </c>
      <c r="V116" s="60" t="n">
        <f aca="false">IF(V$5="A",Inputs_Actuals!V46,V110)</f>
        <v>8892</v>
      </c>
      <c r="W116" s="60" t="n">
        <f aca="false">IF(W$5="A",Inputs_Actuals!W46,W110)</f>
        <v>8892</v>
      </c>
      <c r="X116" s="60" t="n">
        <f aca="false">IF(X$5="A",Inputs_Actuals!X46,X110)</f>
        <v>8892</v>
      </c>
      <c r="Y116" s="60" t="n">
        <f aca="false">IF(Y$5="A",Inputs_Actuals!Y46,Y110)</f>
        <v>8892</v>
      </c>
      <c r="Z116" s="60" t="n">
        <f aca="false">IF(Z$5="A",Inputs_Actuals!Z46,Z110)</f>
        <v>8892</v>
      </c>
      <c r="AA116" s="60" t="n">
        <f aca="false">IF(AA$5="A",Inputs_Actuals!AA46,AA110)</f>
        <v>8892</v>
      </c>
      <c r="AB116" s="60" t="n">
        <f aca="false">IF(AB$5="A",Inputs_Actuals!AB46,AB110)</f>
        <v>8892</v>
      </c>
    </row>
    <row r="118" customFormat="false" ht="15" hidden="false" customHeight="false" outlineLevel="0" collapsed="false">
      <c r="A118" s="22" t="s">
        <v>879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row>
    <row r="119" customFormat="false" ht="15" hidden="false" customHeight="false" outlineLevel="0" collapsed="false">
      <c r="A119" s="28" t="s">
        <v>852</v>
      </c>
      <c r="B119" s="58" t="s">
        <v>79</v>
      </c>
      <c r="C119" s="110" t="n">
        <f aca="false">AVERAGE(E119:P119)</f>
        <v>0</v>
      </c>
      <c r="D119" s="110" t="n">
        <f aca="false">AVERAGE(Q119:AB119)</f>
        <v>0.45</v>
      </c>
      <c r="E119" s="93" t="n">
        <f aca="false">IF(Assumptions!E$99&gt;=Client_Register!$P$44,Client_Register!$N$44,0)</f>
        <v>0</v>
      </c>
      <c r="F119" s="93" t="n">
        <f aca="false">IF(Assumptions!F$99&gt;=Client_Register!$P$44,Client_Register!$N$44,0)</f>
        <v>0</v>
      </c>
      <c r="G119" s="93" t="n">
        <f aca="false">IF(Assumptions!G$99&gt;=Client_Register!$P$44,Client_Register!$N$44,0)</f>
        <v>0</v>
      </c>
      <c r="H119" s="93" t="n">
        <f aca="false">IF(Assumptions!H$99&gt;=Client_Register!$P$44,Client_Register!$N$44,0)</f>
        <v>0</v>
      </c>
      <c r="I119" s="93" t="n">
        <f aca="false">IF(Assumptions!I$99&gt;=Client_Register!$P$44,Client_Register!$N$44,0)</f>
        <v>0</v>
      </c>
      <c r="J119" s="93" t="n">
        <f aca="false">IF(Assumptions!J$99&gt;=Client_Register!$P$44,Client_Register!$N$44,0)</f>
        <v>0</v>
      </c>
      <c r="K119" s="93" t="n">
        <f aca="false">IF(Assumptions!K$99&gt;=Client_Register!$P$44,Client_Register!$N$44,0)</f>
        <v>0</v>
      </c>
      <c r="L119" s="93" t="n">
        <f aca="false">IF(Assumptions!L$99&gt;=Client_Register!$P$44,Client_Register!$N$44,0)</f>
        <v>0</v>
      </c>
      <c r="M119" s="93" t="n">
        <f aca="false">IF(Assumptions!M$99&gt;=Client_Register!$P$44,Client_Register!$N$44,0)</f>
        <v>0</v>
      </c>
      <c r="N119" s="93" t="n">
        <f aca="false">IF(Assumptions!N$99&gt;=Client_Register!$P$44,Client_Register!$N$44,0)</f>
        <v>0</v>
      </c>
      <c r="O119" s="93" t="n">
        <f aca="false">IF(Assumptions!O$99&gt;=Client_Register!$P$44,Client_Register!$N$44,0)</f>
        <v>0</v>
      </c>
      <c r="P119" s="93" t="n">
        <f aca="false">IF(Assumptions!P$99&gt;=Client_Register!$P$44,Client_Register!$N$44,0)</f>
        <v>0</v>
      </c>
      <c r="Q119" s="93" t="n">
        <f aca="false">IF(Assumptions!Q$99&gt;=Client_Register!$P$44,Client_Register!$N$44,0)</f>
        <v>0.45</v>
      </c>
      <c r="R119" s="93" t="n">
        <f aca="false">IF(Assumptions!R$99&gt;=Client_Register!$P$44,Client_Register!$N$44,0)</f>
        <v>0.45</v>
      </c>
      <c r="S119" s="93" t="n">
        <f aca="false">IF(Assumptions!S$99&gt;=Client_Register!$P$44,Client_Register!$N$44,0)</f>
        <v>0.45</v>
      </c>
      <c r="T119" s="93" t="n">
        <f aca="false">IF(Assumptions!T$99&gt;=Client_Register!$P$44,Client_Register!$N$44,0)</f>
        <v>0.45</v>
      </c>
      <c r="U119" s="93" t="n">
        <f aca="false">IF(Assumptions!U$99&gt;=Client_Register!$P$44,Client_Register!$N$44,0)</f>
        <v>0.45</v>
      </c>
      <c r="V119" s="93" t="n">
        <f aca="false">IF(Assumptions!V$99&gt;=Client_Register!$P$44,Client_Register!$N$44,0)</f>
        <v>0.45</v>
      </c>
      <c r="W119" s="93" t="n">
        <f aca="false">IF(Assumptions!W$99&gt;=Client_Register!$P$44,Client_Register!$N$44,0)</f>
        <v>0.45</v>
      </c>
      <c r="X119" s="93" t="n">
        <f aca="false">IF(Assumptions!X$99&gt;=Client_Register!$P$44,Client_Register!$N$44,0)</f>
        <v>0.45</v>
      </c>
      <c r="Y119" s="93" t="n">
        <f aca="false">IF(Assumptions!Y$99&gt;=Client_Register!$P$44,Client_Register!$N$44,0)</f>
        <v>0.45</v>
      </c>
      <c r="Z119" s="93" t="n">
        <f aca="false">IF(Assumptions!Z$99&gt;=Client_Register!$P$44,Client_Register!$N$44,0)</f>
        <v>0.45</v>
      </c>
      <c r="AA119" s="93" t="n">
        <f aca="false">IF(Assumptions!AA$99&gt;=Client_Register!$P$44,Client_Register!$N$44,0)</f>
        <v>0.45</v>
      </c>
      <c r="AB119" s="93" t="n">
        <f aca="false">IF(Assumptions!AB$99&gt;=Client_Register!$P$44,Client_Register!$N$44,0)</f>
        <v>0.45</v>
      </c>
    </row>
    <row r="120" customFormat="false" ht="15" hidden="false" customHeight="false" outlineLevel="0" collapsed="false">
      <c r="A120" s="28" t="s">
        <v>871</v>
      </c>
      <c r="B120" s="58" t="s">
        <v>854</v>
      </c>
      <c r="C120" s="59" t="n">
        <f aca="false">SUM(E120:P120)</f>
        <v>0</v>
      </c>
      <c r="D120" s="59" t="n">
        <f aca="false">SUM(Q120:AB120)</f>
        <v>81000</v>
      </c>
      <c r="E120" s="60" t="n">
        <f aca="false">IF(E$5="A",0,Client_Register!$G$44*E119*IF(Assumptions!E$99&gt;Client_Register!$Q$44,1+Assumptions!$F$114,1))</f>
        <v>0</v>
      </c>
      <c r="F120" s="60" t="n">
        <f aca="false">IF(F$5="A",0,Client_Register!$G$44*F119*IF(Assumptions!F$99&gt;Client_Register!$Q$44,1+Assumptions!$F$114,1))</f>
        <v>0</v>
      </c>
      <c r="G120" s="60" t="n">
        <f aca="false">IF(G$5="A",0,Client_Register!$G$44*G119*IF(Assumptions!G$99&gt;Client_Register!$Q$44,1+Assumptions!$F$114,1))</f>
        <v>0</v>
      </c>
      <c r="H120" s="60" t="n">
        <f aca="false">IF(H$5="A",0,Client_Register!$G$44*H119*IF(Assumptions!H$99&gt;Client_Register!$Q$44,1+Assumptions!$F$114,1))</f>
        <v>0</v>
      </c>
      <c r="I120" s="60" t="n">
        <f aca="false">IF(I$5="A",0,Client_Register!$G$44*I119*IF(Assumptions!I$99&gt;Client_Register!$Q$44,1+Assumptions!$F$114,1))</f>
        <v>0</v>
      </c>
      <c r="J120" s="60" t="n">
        <f aca="false">IF(J$5="A",0,Client_Register!$G$44*J119*IF(Assumptions!J$99&gt;Client_Register!$Q$44,1+Assumptions!$F$114,1))</f>
        <v>0</v>
      </c>
      <c r="K120" s="60" t="n">
        <f aca="false">IF(K$5="A",0,Client_Register!$G$44*K119*IF(Assumptions!K$99&gt;Client_Register!$Q$44,1+Assumptions!$F$114,1))</f>
        <v>0</v>
      </c>
      <c r="L120" s="60" t="n">
        <f aca="false">IF(L$5="A",0,Client_Register!$G$44*L119*IF(Assumptions!L$99&gt;Client_Register!$Q$44,1+Assumptions!$F$114,1))</f>
        <v>0</v>
      </c>
      <c r="M120" s="60" t="n">
        <f aca="false">IF(M$5="A",0,Client_Register!$G$44*M119*IF(Assumptions!M$99&gt;Client_Register!$Q$44,1+Assumptions!$F$114,1))</f>
        <v>0</v>
      </c>
      <c r="N120" s="60" t="n">
        <f aca="false">IF(N$5="A",0,Client_Register!$G$44*N119*IF(Assumptions!N$99&gt;Client_Register!$Q$44,1+Assumptions!$F$114,1))</f>
        <v>0</v>
      </c>
      <c r="O120" s="60" t="n">
        <f aca="false">IF(O$5="A",0,Client_Register!$G$44*O119*IF(Assumptions!O$99&gt;Client_Register!$Q$44,1+Assumptions!$F$114,1))</f>
        <v>0</v>
      </c>
      <c r="P120" s="60" t="n">
        <f aca="false">IF(P$5="A",0,Client_Register!$G$44*P119*IF(Assumptions!P$99&gt;Client_Register!$Q$44,1+Assumptions!$F$114,1))</f>
        <v>0</v>
      </c>
      <c r="Q120" s="60" t="n">
        <f aca="false">IF(Q$5="A",0,Client_Register!$G$44*Q119*IF(Assumptions!Q$99&gt;Client_Register!$Q$44,1+Assumptions!$F$114,1))</f>
        <v>6750</v>
      </c>
      <c r="R120" s="60" t="n">
        <f aca="false">IF(R$5="A",0,Client_Register!$G$44*R119*IF(Assumptions!R$99&gt;Client_Register!$Q$44,1+Assumptions!$F$114,1))</f>
        <v>6750</v>
      </c>
      <c r="S120" s="60" t="n">
        <f aca="false">IF(S$5="A",0,Client_Register!$G$44*S119*IF(Assumptions!S$99&gt;Client_Register!$Q$44,1+Assumptions!$F$114,1))</f>
        <v>6750</v>
      </c>
      <c r="T120" s="60" t="n">
        <f aca="false">IF(T$5="A",0,Client_Register!$G$44*T119*IF(Assumptions!T$99&gt;Client_Register!$Q$44,1+Assumptions!$F$114,1))</f>
        <v>6750</v>
      </c>
      <c r="U120" s="60" t="n">
        <f aca="false">IF(U$5="A",0,Client_Register!$G$44*U119*IF(Assumptions!U$99&gt;Client_Register!$Q$44,1+Assumptions!$F$114,1))</f>
        <v>6750</v>
      </c>
      <c r="V120" s="60" t="n">
        <f aca="false">IF(V$5="A",0,Client_Register!$G$44*V119*IF(Assumptions!V$99&gt;Client_Register!$Q$44,1+Assumptions!$F$114,1))</f>
        <v>6750</v>
      </c>
      <c r="W120" s="60" t="n">
        <f aca="false">IF(W$5="A",0,Client_Register!$G$44*W119*IF(Assumptions!W$99&gt;Client_Register!$Q$44,1+Assumptions!$F$114,1))</f>
        <v>6750</v>
      </c>
      <c r="X120" s="60" t="n">
        <f aca="false">IF(X$5="A",0,Client_Register!$G$44*X119*IF(Assumptions!X$99&gt;Client_Register!$Q$44,1+Assumptions!$F$114,1))</f>
        <v>6750</v>
      </c>
      <c r="Y120" s="60" t="n">
        <f aca="false">IF(Y$5="A",0,Client_Register!$G$44*Y119*IF(Assumptions!Y$99&gt;Client_Register!$Q$44,1+Assumptions!$F$114,1))</f>
        <v>6750</v>
      </c>
      <c r="Z120" s="60" t="n">
        <f aca="false">IF(Z$5="A",0,Client_Register!$G$44*Z119*IF(Assumptions!Z$99&gt;Client_Register!$Q$44,1+Assumptions!$F$114,1))</f>
        <v>6750</v>
      </c>
      <c r="AA120" s="60" t="n">
        <f aca="false">IF(AA$5="A",0,Client_Register!$G$44*AA119*IF(Assumptions!AA$99&gt;Client_Register!$Q$44,1+Assumptions!$F$114,1))</f>
        <v>6750</v>
      </c>
      <c r="AB120" s="60" t="n">
        <f aca="false">IF(AB$5="A",0,Client_Register!$G$44*AB119*IF(Assumptions!AB$99&gt;Client_Register!$Q$44,1+Assumptions!$F$114,1))</f>
        <v>6750</v>
      </c>
    </row>
    <row r="121" customFormat="false" ht="15" hidden="false" customHeight="false" outlineLevel="0" collapsed="false">
      <c r="A121" s="28" t="s">
        <v>855</v>
      </c>
      <c r="B121" s="58" t="s">
        <v>856</v>
      </c>
      <c r="C121" s="59" t="n">
        <f aca="false">SUM(E121:P121)</f>
        <v>0</v>
      </c>
      <c r="D121" s="59" t="n">
        <f aca="false">SUM(Q121:AB121)</f>
        <v>69851.6729906865</v>
      </c>
      <c r="E121" s="60" t="n">
        <f aca="false">E120/FX!E11</f>
        <v>0</v>
      </c>
      <c r="F121" s="60" t="n">
        <f aca="false">F120/FX!F11</f>
        <v>0</v>
      </c>
      <c r="G121" s="60" t="n">
        <f aca="false">G120/FX!G11</f>
        <v>0</v>
      </c>
      <c r="H121" s="60" t="n">
        <f aca="false">H120/FX!H11</f>
        <v>0</v>
      </c>
      <c r="I121" s="60" t="n">
        <f aca="false">I120/FX!I11</f>
        <v>0</v>
      </c>
      <c r="J121" s="60" t="n">
        <f aca="false">J120/FX!J11</f>
        <v>0</v>
      </c>
      <c r="K121" s="60" t="n">
        <f aca="false">K120/FX!K11</f>
        <v>0</v>
      </c>
      <c r="L121" s="60" t="n">
        <f aca="false">L120/FX!L11</f>
        <v>0</v>
      </c>
      <c r="M121" s="60" t="n">
        <f aca="false">M120/FX!M11</f>
        <v>0</v>
      </c>
      <c r="N121" s="60" t="n">
        <f aca="false">N120/FX!N11</f>
        <v>0</v>
      </c>
      <c r="O121" s="60" t="n">
        <f aca="false">O120/FX!O11</f>
        <v>0</v>
      </c>
      <c r="P121" s="60" t="n">
        <f aca="false">P120/FX!P11</f>
        <v>0</v>
      </c>
      <c r="Q121" s="60" t="n">
        <f aca="false">Q120/FX!Q11</f>
        <v>5820.97274922387</v>
      </c>
      <c r="R121" s="60" t="n">
        <f aca="false">R120/FX!R11</f>
        <v>5820.97274922387</v>
      </c>
      <c r="S121" s="60" t="n">
        <f aca="false">S120/FX!S11</f>
        <v>5820.97274922387</v>
      </c>
      <c r="T121" s="60" t="n">
        <f aca="false">T120/FX!T11</f>
        <v>5820.97274922387</v>
      </c>
      <c r="U121" s="60" t="n">
        <f aca="false">U120/FX!U11</f>
        <v>5820.97274922387</v>
      </c>
      <c r="V121" s="60" t="n">
        <f aca="false">V120/FX!V11</f>
        <v>5820.97274922387</v>
      </c>
      <c r="W121" s="60" t="n">
        <f aca="false">W120/FX!W11</f>
        <v>5820.97274922387</v>
      </c>
      <c r="X121" s="60" t="n">
        <f aca="false">X120/FX!X11</f>
        <v>5820.97274922387</v>
      </c>
      <c r="Y121" s="60" t="n">
        <f aca="false">Y120/FX!Y11</f>
        <v>5820.97274922387</v>
      </c>
      <c r="Z121" s="60" t="n">
        <f aca="false">Z120/FX!Z11</f>
        <v>5820.97274922387</v>
      </c>
      <c r="AA121" s="60" t="n">
        <f aca="false">AA120/FX!AA11</f>
        <v>5820.97274922387</v>
      </c>
      <c r="AB121" s="60" t="n">
        <f aca="false">AB120/FX!AB11</f>
        <v>5820.97274922387</v>
      </c>
    </row>
    <row r="122" customFormat="false" ht="15" hidden="false" customHeight="false" outlineLevel="0" collapsed="false">
      <c r="A122" s="28" t="s">
        <v>857</v>
      </c>
      <c r="B122" s="58" t="s">
        <v>858</v>
      </c>
      <c r="C122" s="66" t="n">
        <f aca="false">SUM(E122:P122)</f>
        <v>0</v>
      </c>
      <c r="D122" s="66" t="n">
        <f aca="false">SUM(Q122:AB122)</f>
        <v>702</v>
      </c>
      <c r="E122" s="67" t="n">
        <f aca="false">Client_Register!$H$44*E119</f>
        <v>0</v>
      </c>
      <c r="F122" s="67" t="n">
        <f aca="false">Client_Register!$H$44*F119</f>
        <v>0</v>
      </c>
      <c r="G122" s="67" t="n">
        <f aca="false">Client_Register!$H$44*G119</f>
        <v>0</v>
      </c>
      <c r="H122" s="67" t="n">
        <f aca="false">Client_Register!$H$44*H119</f>
        <v>0</v>
      </c>
      <c r="I122" s="67" t="n">
        <f aca="false">Client_Register!$H$44*I119</f>
        <v>0</v>
      </c>
      <c r="J122" s="67" t="n">
        <f aca="false">Client_Register!$H$44*J119</f>
        <v>0</v>
      </c>
      <c r="K122" s="67" t="n">
        <f aca="false">Client_Register!$H$44*K119</f>
        <v>0</v>
      </c>
      <c r="L122" s="67" t="n">
        <f aca="false">Client_Register!$H$44*L119</f>
        <v>0</v>
      </c>
      <c r="M122" s="67" t="n">
        <f aca="false">Client_Register!$H$44*M119</f>
        <v>0</v>
      </c>
      <c r="N122" s="67" t="n">
        <f aca="false">Client_Register!$H$44*N119</f>
        <v>0</v>
      </c>
      <c r="O122" s="67" t="n">
        <f aca="false">Client_Register!$H$44*O119</f>
        <v>0</v>
      </c>
      <c r="P122" s="67" t="n">
        <f aca="false">Client_Register!$H$44*P119</f>
        <v>0</v>
      </c>
      <c r="Q122" s="67" t="n">
        <f aca="false">Client_Register!$H$44*Q119</f>
        <v>58.5</v>
      </c>
      <c r="R122" s="67" t="n">
        <f aca="false">Client_Register!$H$44*R119</f>
        <v>58.5</v>
      </c>
      <c r="S122" s="67" t="n">
        <f aca="false">Client_Register!$H$44*S119</f>
        <v>58.5</v>
      </c>
      <c r="T122" s="67" t="n">
        <f aca="false">Client_Register!$H$44*T119</f>
        <v>58.5</v>
      </c>
      <c r="U122" s="67" t="n">
        <f aca="false">Client_Register!$H$44*U119</f>
        <v>58.5</v>
      </c>
      <c r="V122" s="67" t="n">
        <f aca="false">Client_Register!$H$44*V119</f>
        <v>58.5</v>
      </c>
      <c r="W122" s="67" t="n">
        <f aca="false">Client_Register!$H$44*W119</f>
        <v>58.5</v>
      </c>
      <c r="X122" s="67" t="n">
        <f aca="false">Client_Register!$H$44*X119</f>
        <v>58.5</v>
      </c>
      <c r="Y122" s="67" t="n">
        <f aca="false">Client_Register!$H$44*Y119</f>
        <v>58.5</v>
      </c>
      <c r="Z122" s="67" t="n">
        <f aca="false">Client_Register!$H$44*Z119</f>
        <v>58.5</v>
      </c>
      <c r="AA122" s="67" t="n">
        <f aca="false">Client_Register!$H$44*AA119</f>
        <v>58.5</v>
      </c>
      <c r="AB122" s="67" t="n">
        <f aca="false">Client_Register!$H$44*AB119</f>
        <v>58.5</v>
      </c>
    </row>
    <row r="123" customFormat="false" ht="15" hidden="false" customHeight="false" outlineLevel="0" collapsed="false">
      <c r="A123" s="28" t="s">
        <v>802</v>
      </c>
      <c r="B123" s="58" t="s">
        <v>859</v>
      </c>
      <c r="C123" s="66" t="n">
        <f aca="false">SUM(E123:P123)</f>
        <v>0</v>
      </c>
      <c r="D123" s="66" t="n">
        <f aca="false">SUM(Q123:AB123)</f>
        <v>772.2</v>
      </c>
      <c r="E123" s="67" t="n">
        <f aca="false">IF(E$5="A",0,E122*(1+Client_Register!$S$44))</f>
        <v>0</v>
      </c>
      <c r="F123" s="67" t="n">
        <f aca="false">IF(F$5="A",0,F122*(1+Client_Register!$S$44))</f>
        <v>0</v>
      </c>
      <c r="G123" s="67" t="n">
        <f aca="false">IF(G$5="A",0,G122*(1+Client_Register!$S$44))</f>
        <v>0</v>
      </c>
      <c r="H123" s="67" t="n">
        <f aca="false">IF(H$5="A",0,H122*(1+Client_Register!$S$44))</f>
        <v>0</v>
      </c>
      <c r="I123" s="67" t="n">
        <f aca="false">IF(I$5="A",0,I122*(1+Client_Register!$S$44))</f>
        <v>0</v>
      </c>
      <c r="J123" s="67" t="n">
        <f aca="false">IF(J$5="A",0,J122*(1+Client_Register!$S$44))</f>
        <v>0</v>
      </c>
      <c r="K123" s="67" t="n">
        <f aca="false">IF(K$5="A",0,K122*(1+Client_Register!$S$44))</f>
        <v>0</v>
      </c>
      <c r="L123" s="67" t="n">
        <f aca="false">IF(L$5="A",0,L122*(1+Client_Register!$S$44))</f>
        <v>0</v>
      </c>
      <c r="M123" s="67" t="n">
        <f aca="false">IF(M$5="A",0,M122*(1+Client_Register!$S$44))</f>
        <v>0</v>
      </c>
      <c r="N123" s="67" t="n">
        <f aca="false">IF(N$5="A",0,N122*(1+Client_Register!$S$44))</f>
        <v>0</v>
      </c>
      <c r="O123" s="67" t="n">
        <f aca="false">IF(O$5="A",0,O122*(1+Client_Register!$S$44))</f>
        <v>0</v>
      </c>
      <c r="P123" s="67" t="n">
        <f aca="false">IF(P$5="A",0,P122*(1+Client_Register!$S$44))</f>
        <v>0</v>
      </c>
      <c r="Q123" s="67" t="n">
        <f aca="false">IF(Q$5="A",0,Q122*(1+Client_Register!$S$44))</f>
        <v>64.35</v>
      </c>
      <c r="R123" s="67" t="n">
        <f aca="false">IF(R$5="A",0,R122*(1+Client_Register!$S$44))</f>
        <v>64.35</v>
      </c>
      <c r="S123" s="67" t="n">
        <f aca="false">IF(S$5="A",0,S122*(1+Client_Register!$S$44))</f>
        <v>64.35</v>
      </c>
      <c r="T123" s="67" t="n">
        <f aca="false">IF(T$5="A",0,T122*(1+Client_Register!$S$44))</f>
        <v>64.35</v>
      </c>
      <c r="U123" s="67" t="n">
        <f aca="false">IF(U$5="A",0,U122*(1+Client_Register!$S$44))</f>
        <v>64.35</v>
      </c>
      <c r="V123" s="67" t="n">
        <f aca="false">IF(V$5="A",0,V122*(1+Client_Register!$S$44))</f>
        <v>64.35</v>
      </c>
      <c r="W123" s="67" t="n">
        <f aca="false">IF(W$5="A",0,W122*(1+Client_Register!$S$44))</f>
        <v>64.35</v>
      </c>
      <c r="X123" s="67" t="n">
        <f aca="false">IF(X$5="A",0,X122*(1+Client_Register!$S$44))</f>
        <v>64.35</v>
      </c>
      <c r="Y123" s="67" t="n">
        <f aca="false">IF(Y$5="A",0,Y122*(1+Client_Register!$S$44))</f>
        <v>64.35</v>
      </c>
      <c r="Z123" s="67" t="n">
        <f aca="false">IF(Z$5="A",0,Z122*(1+Client_Register!$S$44))</f>
        <v>64.35</v>
      </c>
      <c r="AA123" s="67" t="n">
        <f aca="false">IF(AA$5="A",0,AA122*(1+Client_Register!$S$44))</f>
        <v>64.35</v>
      </c>
      <c r="AB123" s="67" t="n">
        <f aca="false">IF(AB$5="A",0,AB122*(1+Client_Register!$S$44))</f>
        <v>64.35</v>
      </c>
    </row>
    <row r="124" customFormat="false" ht="15" hidden="false" customHeight="false" outlineLevel="0" collapsed="false">
      <c r="A124" s="28" t="s">
        <v>860</v>
      </c>
      <c r="B124" s="58" t="s">
        <v>861</v>
      </c>
      <c r="C124" s="66" t="n">
        <f aca="false">SUM(E124:P124)</f>
        <v>0</v>
      </c>
      <c r="D124" s="66" t="n">
        <f aca="false">SUM(Q124:AB124)</f>
        <v>70.2000000000001</v>
      </c>
      <c r="E124" s="72" t="n">
        <f aca="false">E123-E122</f>
        <v>0</v>
      </c>
      <c r="F124" s="72" t="n">
        <f aca="false">F123-F122</f>
        <v>0</v>
      </c>
      <c r="G124" s="72" t="n">
        <f aca="false">G123-G122</f>
        <v>0</v>
      </c>
      <c r="H124" s="72" t="n">
        <f aca="false">H123-H122</f>
        <v>0</v>
      </c>
      <c r="I124" s="72" t="n">
        <f aca="false">I123-I122</f>
        <v>0</v>
      </c>
      <c r="J124" s="72" t="n">
        <f aca="false">J123-J122</f>
        <v>0</v>
      </c>
      <c r="K124" s="72" t="n">
        <f aca="false">K123-K122</f>
        <v>0</v>
      </c>
      <c r="L124" s="72" t="n">
        <f aca="false">L123-L122</f>
        <v>0</v>
      </c>
      <c r="M124" s="72" t="n">
        <f aca="false">M123-M122</f>
        <v>0</v>
      </c>
      <c r="N124" s="72" t="n">
        <f aca="false">N123-N122</f>
        <v>0</v>
      </c>
      <c r="O124" s="72" t="n">
        <f aca="false">O123-O122</f>
        <v>0</v>
      </c>
      <c r="P124" s="72" t="n">
        <f aca="false">P123-P122</f>
        <v>0</v>
      </c>
      <c r="Q124" s="72" t="n">
        <f aca="false">Q123-Q122</f>
        <v>5.85000000000001</v>
      </c>
      <c r="R124" s="72" t="n">
        <f aca="false">R123-R122</f>
        <v>5.85000000000001</v>
      </c>
      <c r="S124" s="72" t="n">
        <f aca="false">S123-S122</f>
        <v>5.85000000000001</v>
      </c>
      <c r="T124" s="72" t="n">
        <f aca="false">T123-T122</f>
        <v>5.85000000000001</v>
      </c>
      <c r="U124" s="72" t="n">
        <f aca="false">U123-U122</f>
        <v>5.85000000000001</v>
      </c>
      <c r="V124" s="72" t="n">
        <f aca="false">V123-V122</f>
        <v>5.85000000000001</v>
      </c>
      <c r="W124" s="72" t="n">
        <f aca="false">W123-W122</f>
        <v>5.85000000000001</v>
      </c>
      <c r="X124" s="72" t="n">
        <f aca="false">X123-X122</f>
        <v>5.85000000000001</v>
      </c>
      <c r="Y124" s="72" t="n">
        <f aca="false">Y123-Y122</f>
        <v>5.85000000000001</v>
      </c>
      <c r="Z124" s="72" t="n">
        <f aca="false">Z123-Z122</f>
        <v>5.85000000000001</v>
      </c>
      <c r="AA124" s="72" t="n">
        <f aca="false">AA123-AA122</f>
        <v>5.85000000000001</v>
      </c>
      <c r="AB124" s="72" t="n">
        <f aca="false">AB123-AB122</f>
        <v>5.85000000000001</v>
      </c>
    </row>
    <row r="125" customFormat="false" ht="15" hidden="false" customHeight="false" outlineLevel="0" collapsed="false">
      <c r="A125" s="28" t="s">
        <v>862</v>
      </c>
      <c r="B125" s="58" t="s">
        <v>863</v>
      </c>
      <c r="C125" s="59" t="n">
        <f aca="false">SUM(E125:P125)</f>
        <v>0</v>
      </c>
      <c r="D125" s="59" t="n">
        <f aca="false">SUM(Q125:AB125)</f>
        <v>3966.83600810127</v>
      </c>
      <c r="E125" s="60" t="n">
        <f aca="false">E124*Utilisation!E90</f>
        <v>0</v>
      </c>
      <c r="F125" s="60" t="n">
        <f aca="false">F124*Utilisation!F90</f>
        <v>0</v>
      </c>
      <c r="G125" s="60" t="n">
        <f aca="false">G124*Utilisation!G90</f>
        <v>0</v>
      </c>
      <c r="H125" s="60" t="n">
        <f aca="false">H124*Utilisation!H90</f>
        <v>0</v>
      </c>
      <c r="I125" s="60" t="n">
        <f aca="false">I124*Utilisation!I90</f>
        <v>0</v>
      </c>
      <c r="J125" s="60" t="n">
        <f aca="false">J124*Utilisation!J90</f>
        <v>0</v>
      </c>
      <c r="K125" s="60" t="n">
        <f aca="false">K124*Utilisation!K90</f>
        <v>0</v>
      </c>
      <c r="L125" s="60" t="n">
        <f aca="false">L124*Utilisation!L90</f>
        <v>0</v>
      </c>
      <c r="M125" s="60" t="n">
        <f aca="false">M124*Utilisation!M90</f>
        <v>0</v>
      </c>
      <c r="N125" s="60" t="n">
        <f aca="false">N124*Utilisation!N90</f>
        <v>0</v>
      </c>
      <c r="O125" s="60" t="n">
        <f aca="false">O124*Utilisation!O90</f>
        <v>0</v>
      </c>
      <c r="P125" s="60" t="n">
        <f aca="false">P124*Utilisation!P90</f>
        <v>0</v>
      </c>
      <c r="Q125" s="60" t="n">
        <f aca="false">Q124*Utilisation!Q90</f>
        <v>330.569667341773</v>
      </c>
      <c r="R125" s="60" t="n">
        <f aca="false">R124*Utilisation!R90</f>
        <v>330.569667341773</v>
      </c>
      <c r="S125" s="60" t="n">
        <f aca="false">S124*Utilisation!S90</f>
        <v>330.569667341773</v>
      </c>
      <c r="T125" s="60" t="n">
        <f aca="false">T124*Utilisation!T90</f>
        <v>330.569667341773</v>
      </c>
      <c r="U125" s="60" t="n">
        <f aca="false">U124*Utilisation!U90</f>
        <v>330.569667341773</v>
      </c>
      <c r="V125" s="60" t="n">
        <f aca="false">V124*Utilisation!V90</f>
        <v>330.569667341773</v>
      </c>
      <c r="W125" s="60" t="n">
        <f aca="false">W124*Utilisation!W90</f>
        <v>330.569667341773</v>
      </c>
      <c r="X125" s="60" t="n">
        <f aca="false">X124*Utilisation!X90</f>
        <v>330.569667341773</v>
      </c>
      <c r="Y125" s="60" t="n">
        <f aca="false">Y124*Utilisation!Y90</f>
        <v>330.569667341773</v>
      </c>
      <c r="Z125" s="60" t="n">
        <f aca="false">Z124*Utilisation!Z90</f>
        <v>330.569667341773</v>
      </c>
      <c r="AA125" s="60" t="n">
        <f aca="false">AA124*Utilisation!AA90</f>
        <v>330.569667341773</v>
      </c>
      <c r="AB125" s="60" t="n">
        <f aca="false">AB124*Utilisation!AB90</f>
        <v>330.569667341773</v>
      </c>
    </row>
    <row r="126" customFormat="false" ht="15" hidden="false" customHeight="false" outlineLevel="0" collapsed="false">
      <c r="A126" s="28" t="s">
        <v>864</v>
      </c>
      <c r="B126" s="58" t="s">
        <v>865</v>
      </c>
      <c r="C126" s="59" t="n">
        <f aca="false">SUM(E126:P126)</f>
        <v>0</v>
      </c>
      <c r="D126" s="59" t="n">
        <f aca="false">SUM(Q126:AB126)</f>
        <v>81000</v>
      </c>
      <c r="E126" s="71" t="n">
        <f aca="false">IF(E$5="A",0,E120)</f>
        <v>0</v>
      </c>
      <c r="F126" s="71" t="n">
        <f aca="false">IF(F$5="A",0,F120)</f>
        <v>0</v>
      </c>
      <c r="G126" s="71" t="n">
        <f aca="false">IF(G$5="A",0,G120)</f>
        <v>0</v>
      </c>
      <c r="H126" s="71" t="n">
        <f aca="false">IF(H$5="A",0,H120)</f>
        <v>0</v>
      </c>
      <c r="I126" s="71" t="n">
        <f aca="false">IF(I$5="A",0,I120)</f>
        <v>0</v>
      </c>
      <c r="J126" s="71" t="n">
        <f aca="false">IF(J$5="A",0,J120)</f>
        <v>0</v>
      </c>
      <c r="K126" s="71" t="n">
        <f aca="false">IF(K$5="A",0,K120)</f>
        <v>0</v>
      </c>
      <c r="L126" s="71" t="n">
        <f aca="false">IF(L$5="A",0,L120)</f>
        <v>0</v>
      </c>
      <c r="M126" s="71" t="n">
        <f aca="false">IF(M$5="A",0,M120)</f>
        <v>0</v>
      </c>
      <c r="N126" s="71" t="n">
        <f aca="false">IF(N$5="A",0,N120)</f>
        <v>0</v>
      </c>
      <c r="O126" s="71" t="n">
        <f aca="false">IF(O$5="A",0,O120)</f>
        <v>0</v>
      </c>
      <c r="P126" s="71" t="n">
        <f aca="false">IF(P$5="A",0,P120)</f>
        <v>0</v>
      </c>
      <c r="Q126" s="71" t="n">
        <f aca="false">IF(Q$5="A",0,Q120)</f>
        <v>6750</v>
      </c>
      <c r="R126" s="71" t="n">
        <f aca="false">IF(R$5="A",0,R120)</f>
        <v>6750</v>
      </c>
      <c r="S126" s="71" t="n">
        <f aca="false">IF(S$5="A",0,S120)</f>
        <v>6750</v>
      </c>
      <c r="T126" s="71" t="n">
        <f aca="false">IF(T$5="A",0,T120)</f>
        <v>6750</v>
      </c>
      <c r="U126" s="71" t="n">
        <f aca="false">IF(U$5="A",0,U120)</f>
        <v>6750</v>
      </c>
      <c r="V126" s="71" t="n">
        <f aca="false">IF(V$5="A",0,V120)</f>
        <v>6750</v>
      </c>
      <c r="W126" s="71" t="n">
        <f aca="false">IF(W$5="A",0,W120)</f>
        <v>6750</v>
      </c>
      <c r="X126" s="71" t="n">
        <f aca="false">IF(X$5="A",0,X120)</f>
        <v>6750</v>
      </c>
      <c r="Y126" s="71" t="n">
        <f aca="false">IF(Y$5="A",0,Y120)</f>
        <v>6750</v>
      </c>
      <c r="Z126" s="71" t="n">
        <f aca="false">IF(Z$5="A",0,Z120)</f>
        <v>6750</v>
      </c>
      <c r="AA126" s="71" t="n">
        <f aca="false">IF(AA$5="A",0,AA120)</f>
        <v>6750</v>
      </c>
      <c r="AB126" s="71" t="n">
        <f aca="false">IF(AB$5="A",0,AB120)</f>
        <v>6750</v>
      </c>
    </row>
    <row r="128" customFormat="false" ht="15" hidden="false" customHeight="false" outlineLevel="0" collapsed="false">
      <c r="A128" s="22" t="s">
        <v>880</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row>
    <row r="129" customFormat="false" ht="15" hidden="false" customHeight="false" outlineLevel="0" collapsed="false">
      <c r="A129" s="28" t="s">
        <v>852</v>
      </c>
      <c r="B129" s="58" t="s">
        <v>79</v>
      </c>
      <c r="C129" s="110" t="n">
        <f aca="false">AVERAGE(E129:P129)</f>
        <v>0</v>
      </c>
      <c r="D129" s="110" t="n">
        <f aca="false">AVERAGE(Q129:AB129)</f>
        <v>0.25</v>
      </c>
      <c r="E129" s="93" t="n">
        <f aca="false">IF(Assumptions!E$99&gt;=Client_Register!$P$45,Client_Register!$N$45,0)</f>
        <v>0</v>
      </c>
      <c r="F129" s="93" t="n">
        <f aca="false">IF(Assumptions!F$99&gt;=Client_Register!$P$45,Client_Register!$N$45,0)</f>
        <v>0</v>
      </c>
      <c r="G129" s="93" t="n">
        <f aca="false">IF(Assumptions!G$99&gt;=Client_Register!$P$45,Client_Register!$N$45,0)</f>
        <v>0</v>
      </c>
      <c r="H129" s="93" t="n">
        <f aca="false">IF(Assumptions!H$99&gt;=Client_Register!$P$45,Client_Register!$N$45,0)</f>
        <v>0</v>
      </c>
      <c r="I129" s="93" t="n">
        <f aca="false">IF(Assumptions!I$99&gt;=Client_Register!$P$45,Client_Register!$N$45,0)</f>
        <v>0</v>
      </c>
      <c r="J129" s="93" t="n">
        <f aca="false">IF(Assumptions!J$99&gt;=Client_Register!$P$45,Client_Register!$N$45,0)</f>
        <v>0</v>
      </c>
      <c r="K129" s="93" t="n">
        <f aca="false">IF(Assumptions!K$99&gt;=Client_Register!$P$45,Client_Register!$N$45,0)</f>
        <v>0</v>
      </c>
      <c r="L129" s="93" t="n">
        <f aca="false">IF(Assumptions!L$99&gt;=Client_Register!$P$45,Client_Register!$N$45,0)</f>
        <v>0</v>
      </c>
      <c r="M129" s="93" t="n">
        <f aca="false">IF(Assumptions!M$99&gt;=Client_Register!$P$45,Client_Register!$N$45,0)</f>
        <v>0</v>
      </c>
      <c r="N129" s="93" t="n">
        <f aca="false">IF(Assumptions!N$99&gt;=Client_Register!$P$45,Client_Register!$N$45,0)</f>
        <v>0</v>
      </c>
      <c r="O129" s="93" t="n">
        <f aca="false">IF(Assumptions!O$99&gt;=Client_Register!$P$45,Client_Register!$N$45,0)</f>
        <v>0</v>
      </c>
      <c r="P129" s="93" t="n">
        <f aca="false">IF(Assumptions!P$99&gt;=Client_Register!$P$45,Client_Register!$N$45,0)</f>
        <v>0</v>
      </c>
      <c r="Q129" s="93" t="n">
        <f aca="false">IF(Assumptions!Q$99&gt;=Client_Register!$P$45,Client_Register!$N$45,0)</f>
        <v>0</v>
      </c>
      <c r="R129" s="93" t="n">
        <f aca="false">IF(Assumptions!R$99&gt;=Client_Register!$P$45,Client_Register!$N$45,0)</f>
        <v>0</v>
      </c>
      <c r="S129" s="93" t="n">
        <f aca="false">IF(Assumptions!S$99&gt;=Client_Register!$P$45,Client_Register!$N$45,0)</f>
        <v>0.3</v>
      </c>
      <c r="T129" s="93" t="n">
        <f aca="false">IF(Assumptions!T$99&gt;=Client_Register!$P$45,Client_Register!$N$45,0)</f>
        <v>0.3</v>
      </c>
      <c r="U129" s="93" t="n">
        <f aca="false">IF(Assumptions!U$99&gt;=Client_Register!$P$45,Client_Register!$N$45,0)</f>
        <v>0.3</v>
      </c>
      <c r="V129" s="93" t="n">
        <f aca="false">IF(Assumptions!V$99&gt;=Client_Register!$P$45,Client_Register!$N$45,0)</f>
        <v>0.3</v>
      </c>
      <c r="W129" s="93" t="n">
        <f aca="false">IF(Assumptions!W$99&gt;=Client_Register!$P$45,Client_Register!$N$45,0)</f>
        <v>0.3</v>
      </c>
      <c r="X129" s="93" t="n">
        <f aca="false">IF(Assumptions!X$99&gt;=Client_Register!$P$45,Client_Register!$N$45,0)</f>
        <v>0.3</v>
      </c>
      <c r="Y129" s="93" t="n">
        <f aca="false">IF(Assumptions!Y$99&gt;=Client_Register!$P$45,Client_Register!$N$45,0)</f>
        <v>0.3</v>
      </c>
      <c r="Z129" s="93" t="n">
        <f aca="false">IF(Assumptions!Z$99&gt;=Client_Register!$P$45,Client_Register!$N$45,0)</f>
        <v>0.3</v>
      </c>
      <c r="AA129" s="93" t="n">
        <f aca="false">IF(Assumptions!AA$99&gt;=Client_Register!$P$45,Client_Register!$N$45,0)</f>
        <v>0.3</v>
      </c>
      <c r="AB129" s="93" t="n">
        <f aca="false">IF(Assumptions!AB$99&gt;=Client_Register!$P$45,Client_Register!$N$45,0)</f>
        <v>0.3</v>
      </c>
    </row>
    <row r="130" customFormat="false" ht="15" hidden="false" customHeight="false" outlineLevel="0" collapsed="false">
      <c r="A130" s="28" t="s">
        <v>853</v>
      </c>
      <c r="B130" s="58" t="s">
        <v>854</v>
      </c>
      <c r="C130" s="59" t="n">
        <f aca="false">SUM(E130:P130)</f>
        <v>0</v>
      </c>
      <c r="D130" s="59" t="n">
        <f aca="false">SUM(Q130:AB130)</f>
        <v>36000</v>
      </c>
      <c r="E130" s="60" t="n">
        <f aca="false">IF(E$5="A",0,Client_Register!$G$45*E129*IF(Assumptions!E$99&gt;Client_Register!$Q$45,1+Assumptions!$F$114,1))</f>
        <v>0</v>
      </c>
      <c r="F130" s="60" t="n">
        <f aca="false">IF(F$5="A",0,Client_Register!$G$45*F129*IF(Assumptions!F$99&gt;Client_Register!$Q$45,1+Assumptions!$F$114,1))</f>
        <v>0</v>
      </c>
      <c r="G130" s="60" t="n">
        <f aca="false">IF(G$5="A",0,Client_Register!$G$45*G129*IF(Assumptions!G$99&gt;Client_Register!$Q$45,1+Assumptions!$F$114,1))</f>
        <v>0</v>
      </c>
      <c r="H130" s="60" t="n">
        <f aca="false">IF(H$5="A",0,Client_Register!$G$45*H129*IF(Assumptions!H$99&gt;Client_Register!$Q$45,1+Assumptions!$F$114,1))</f>
        <v>0</v>
      </c>
      <c r="I130" s="60" t="n">
        <f aca="false">IF(I$5="A",0,Client_Register!$G$45*I129*IF(Assumptions!I$99&gt;Client_Register!$Q$45,1+Assumptions!$F$114,1))</f>
        <v>0</v>
      </c>
      <c r="J130" s="60" t="n">
        <f aca="false">IF(J$5="A",0,Client_Register!$G$45*J129*IF(Assumptions!J$99&gt;Client_Register!$Q$45,1+Assumptions!$F$114,1))</f>
        <v>0</v>
      </c>
      <c r="K130" s="60" t="n">
        <f aca="false">IF(K$5="A",0,Client_Register!$G$45*K129*IF(Assumptions!K$99&gt;Client_Register!$Q$45,1+Assumptions!$F$114,1))</f>
        <v>0</v>
      </c>
      <c r="L130" s="60" t="n">
        <f aca="false">IF(L$5="A",0,Client_Register!$G$45*L129*IF(Assumptions!L$99&gt;Client_Register!$Q$45,1+Assumptions!$F$114,1))</f>
        <v>0</v>
      </c>
      <c r="M130" s="60" t="n">
        <f aca="false">IF(M$5="A",0,Client_Register!$G$45*M129*IF(Assumptions!M$99&gt;Client_Register!$Q$45,1+Assumptions!$F$114,1))</f>
        <v>0</v>
      </c>
      <c r="N130" s="60" t="n">
        <f aca="false">IF(N$5="A",0,Client_Register!$G$45*N129*IF(Assumptions!N$99&gt;Client_Register!$Q$45,1+Assumptions!$F$114,1))</f>
        <v>0</v>
      </c>
      <c r="O130" s="60" t="n">
        <f aca="false">IF(O$5="A",0,Client_Register!$G$45*O129*IF(Assumptions!O$99&gt;Client_Register!$Q$45,1+Assumptions!$F$114,1))</f>
        <v>0</v>
      </c>
      <c r="P130" s="60" t="n">
        <f aca="false">IF(P$5="A",0,Client_Register!$G$45*P129*IF(Assumptions!P$99&gt;Client_Register!$Q$45,1+Assumptions!$F$114,1))</f>
        <v>0</v>
      </c>
      <c r="Q130" s="60" t="n">
        <f aca="false">IF(Q$5="A",0,Client_Register!$G$45*Q129*IF(Assumptions!Q$99&gt;Client_Register!$Q$45,1+Assumptions!$F$114,1))</f>
        <v>0</v>
      </c>
      <c r="R130" s="60" t="n">
        <f aca="false">IF(R$5="A",0,Client_Register!$G$45*R129*IF(Assumptions!R$99&gt;Client_Register!$Q$45,1+Assumptions!$F$114,1))</f>
        <v>0</v>
      </c>
      <c r="S130" s="60" t="n">
        <f aca="false">IF(S$5="A",0,Client_Register!$G$45*S129*IF(Assumptions!S$99&gt;Client_Register!$Q$45,1+Assumptions!$F$114,1))</f>
        <v>3600</v>
      </c>
      <c r="T130" s="60" t="n">
        <f aca="false">IF(T$5="A",0,Client_Register!$G$45*T129*IF(Assumptions!T$99&gt;Client_Register!$Q$45,1+Assumptions!$F$114,1))</f>
        <v>3600</v>
      </c>
      <c r="U130" s="60" t="n">
        <f aca="false">IF(U$5="A",0,Client_Register!$G$45*U129*IF(Assumptions!U$99&gt;Client_Register!$Q$45,1+Assumptions!$F$114,1))</f>
        <v>3600</v>
      </c>
      <c r="V130" s="60" t="n">
        <f aca="false">IF(V$5="A",0,Client_Register!$G$45*V129*IF(Assumptions!V$99&gt;Client_Register!$Q$45,1+Assumptions!$F$114,1))</f>
        <v>3600</v>
      </c>
      <c r="W130" s="60" t="n">
        <f aca="false">IF(W$5="A",0,Client_Register!$G$45*W129*IF(Assumptions!W$99&gt;Client_Register!$Q$45,1+Assumptions!$F$114,1))</f>
        <v>3600</v>
      </c>
      <c r="X130" s="60" t="n">
        <f aca="false">IF(X$5="A",0,Client_Register!$G$45*X129*IF(Assumptions!X$99&gt;Client_Register!$Q$45,1+Assumptions!$F$114,1))</f>
        <v>3600</v>
      </c>
      <c r="Y130" s="60" t="n">
        <f aca="false">IF(Y$5="A",0,Client_Register!$G$45*Y129*IF(Assumptions!Y$99&gt;Client_Register!$Q$45,1+Assumptions!$F$114,1))</f>
        <v>3600</v>
      </c>
      <c r="Z130" s="60" t="n">
        <f aca="false">IF(Z$5="A",0,Client_Register!$G$45*Z129*IF(Assumptions!Z$99&gt;Client_Register!$Q$45,1+Assumptions!$F$114,1))</f>
        <v>3600</v>
      </c>
      <c r="AA130" s="60" t="n">
        <f aca="false">IF(AA$5="A",0,Client_Register!$G$45*AA129*IF(Assumptions!AA$99&gt;Client_Register!$Q$45,1+Assumptions!$F$114,1))</f>
        <v>3600</v>
      </c>
      <c r="AB130" s="60" t="n">
        <f aca="false">IF(AB$5="A",0,Client_Register!$G$45*AB129*IF(Assumptions!AB$99&gt;Client_Register!$Q$45,1+Assumptions!$F$114,1))</f>
        <v>3600</v>
      </c>
    </row>
    <row r="131" customFormat="false" ht="15" hidden="false" customHeight="false" outlineLevel="0" collapsed="false">
      <c r="A131" s="28" t="s">
        <v>855</v>
      </c>
      <c r="B131" s="58" t="s">
        <v>856</v>
      </c>
      <c r="C131" s="59" t="n">
        <f aca="false">SUM(E131:P131)</f>
        <v>0</v>
      </c>
      <c r="D131" s="59" t="n">
        <f aca="false">SUM(Q131:AB131)</f>
        <v>42032.5051373062</v>
      </c>
      <c r="E131" s="60" t="n">
        <f aca="false">E130/FX!E9</f>
        <v>0</v>
      </c>
      <c r="F131" s="60" t="n">
        <f aca="false">F130/FX!F9</f>
        <v>0</v>
      </c>
      <c r="G131" s="60" t="n">
        <f aca="false">G130/FX!G9</f>
        <v>0</v>
      </c>
      <c r="H131" s="60" t="n">
        <f aca="false">H130/FX!H9</f>
        <v>0</v>
      </c>
      <c r="I131" s="60" t="n">
        <f aca="false">I130/FX!I9</f>
        <v>0</v>
      </c>
      <c r="J131" s="60" t="n">
        <f aca="false">J130/FX!J9</f>
        <v>0</v>
      </c>
      <c r="K131" s="60" t="n">
        <f aca="false">K130/FX!K9</f>
        <v>0</v>
      </c>
      <c r="L131" s="60" t="n">
        <f aca="false">L130/FX!L9</f>
        <v>0</v>
      </c>
      <c r="M131" s="60" t="n">
        <f aca="false">M130/FX!M9</f>
        <v>0</v>
      </c>
      <c r="N131" s="60" t="n">
        <f aca="false">N130/FX!N9</f>
        <v>0</v>
      </c>
      <c r="O131" s="60" t="n">
        <f aca="false">O130/FX!O9</f>
        <v>0</v>
      </c>
      <c r="P131" s="60" t="n">
        <f aca="false">P130/FX!P9</f>
        <v>0</v>
      </c>
      <c r="Q131" s="60" t="n">
        <f aca="false">Q130/FX!Q9</f>
        <v>0</v>
      </c>
      <c r="R131" s="60" t="n">
        <f aca="false">R130/FX!R9</f>
        <v>0</v>
      </c>
      <c r="S131" s="60" t="n">
        <f aca="false">S130/FX!S9</f>
        <v>4203.25051373062</v>
      </c>
      <c r="T131" s="60" t="n">
        <f aca="false">T130/FX!T9</f>
        <v>4203.25051373062</v>
      </c>
      <c r="U131" s="60" t="n">
        <f aca="false">U130/FX!U9</f>
        <v>4203.25051373062</v>
      </c>
      <c r="V131" s="60" t="n">
        <f aca="false">V130/FX!V9</f>
        <v>4203.25051373062</v>
      </c>
      <c r="W131" s="60" t="n">
        <f aca="false">W130/FX!W9</f>
        <v>4203.25051373062</v>
      </c>
      <c r="X131" s="60" t="n">
        <f aca="false">X130/FX!X9</f>
        <v>4203.25051373062</v>
      </c>
      <c r="Y131" s="60" t="n">
        <f aca="false">Y130/FX!Y9</f>
        <v>4203.25051373062</v>
      </c>
      <c r="Z131" s="60" t="n">
        <f aca="false">Z130/FX!Z9</f>
        <v>4203.25051373062</v>
      </c>
      <c r="AA131" s="60" t="n">
        <f aca="false">AA130/FX!AA9</f>
        <v>4203.25051373062</v>
      </c>
      <c r="AB131" s="60" t="n">
        <f aca="false">AB130/FX!AB9</f>
        <v>4203.25051373062</v>
      </c>
    </row>
    <row r="132" customFormat="false" ht="15" hidden="false" customHeight="false" outlineLevel="0" collapsed="false">
      <c r="A132" s="28" t="s">
        <v>857</v>
      </c>
      <c r="B132" s="58" t="s">
        <v>858</v>
      </c>
      <c r="C132" s="66" t="n">
        <f aca="false">SUM(E132:P132)</f>
        <v>0</v>
      </c>
      <c r="D132" s="66" t="n">
        <f aca="false">SUM(Q132:AB132)</f>
        <v>375</v>
      </c>
      <c r="E132" s="67" t="n">
        <f aca="false">Client_Register!$H$45*E129</f>
        <v>0</v>
      </c>
      <c r="F132" s="67" t="n">
        <f aca="false">Client_Register!$H$45*F129</f>
        <v>0</v>
      </c>
      <c r="G132" s="67" t="n">
        <f aca="false">Client_Register!$H$45*G129</f>
        <v>0</v>
      </c>
      <c r="H132" s="67" t="n">
        <f aca="false">Client_Register!$H$45*H129</f>
        <v>0</v>
      </c>
      <c r="I132" s="67" t="n">
        <f aca="false">Client_Register!$H$45*I129</f>
        <v>0</v>
      </c>
      <c r="J132" s="67" t="n">
        <f aca="false">Client_Register!$H$45*J129</f>
        <v>0</v>
      </c>
      <c r="K132" s="67" t="n">
        <f aca="false">Client_Register!$H$45*K129</f>
        <v>0</v>
      </c>
      <c r="L132" s="67" t="n">
        <f aca="false">Client_Register!$H$45*L129</f>
        <v>0</v>
      </c>
      <c r="M132" s="67" t="n">
        <f aca="false">Client_Register!$H$45*M129</f>
        <v>0</v>
      </c>
      <c r="N132" s="67" t="n">
        <f aca="false">Client_Register!$H$45*N129</f>
        <v>0</v>
      </c>
      <c r="O132" s="67" t="n">
        <f aca="false">Client_Register!$H$45*O129</f>
        <v>0</v>
      </c>
      <c r="P132" s="67" t="n">
        <f aca="false">Client_Register!$H$45*P129</f>
        <v>0</v>
      </c>
      <c r="Q132" s="67" t="n">
        <f aca="false">Client_Register!$H$45*Q129</f>
        <v>0</v>
      </c>
      <c r="R132" s="67" t="n">
        <f aca="false">Client_Register!$H$45*R129</f>
        <v>0</v>
      </c>
      <c r="S132" s="67" t="n">
        <f aca="false">Client_Register!$H$45*S129</f>
        <v>37.5</v>
      </c>
      <c r="T132" s="67" t="n">
        <f aca="false">Client_Register!$H$45*T129</f>
        <v>37.5</v>
      </c>
      <c r="U132" s="67" t="n">
        <f aca="false">Client_Register!$H$45*U129</f>
        <v>37.5</v>
      </c>
      <c r="V132" s="67" t="n">
        <f aca="false">Client_Register!$H$45*V129</f>
        <v>37.5</v>
      </c>
      <c r="W132" s="67" t="n">
        <f aca="false">Client_Register!$H$45*W129</f>
        <v>37.5</v>
      </c>
      <c r="X132" s="67" t="n">
        <f aca="false">Client_Register!$H$45*X129</f>
        <v>37.5</v>
      </c>
      <c r="Y132" s="67" t="n">
        <f aca="false">Client_Register!$H$45*Y129</f>
        <v>37.5</v>
      </c>
      <c r="Z132" s="67" t="n">
        <f aca="false">Client_Register!$H$45*Z129</f>
        <v>37.5</v>
      </c>
      <c r="AA132" s="67" t="n">
        <f aca="false">Client_Register!$H$45*AA129</f>
        <v>37.5</v>
      </c>
      <c r="AB132" s="67" t="n">
        <f aca="false">Client_Register!$H$45*AB129</f>
        <v>37.5</v>
      </c>
    </row>
    <row r="133" customFormat="false" ht="15" hidden="false" customHeight="false" outlineLevel="0" collapsed="false">
      <c r="A133" s="28" t="s">
        <v>802</v>
      </c>
      <c r="B133" s="58" t="s">
        <v>859</v>
      </c>
      <c r="C133" s="66" t="n">
        <f aca="false">SUM(E133:P133)</f>
        <v>0</v>
      </c>
      <c r="D133" s="66" t="n">
        <f aca="false">SUM(Q133:AB133)</f>
        <v>412.5</v>
      </c>
      <c r="E133" s="67" t="n">
        <f aca="false">IF(E$5="A",0,E132*(1+Client_Register!$S$45))</f>
        <v>0</v>
      </c>
      <c r="F133" s="67" t="n">
        <f aca="false">IF(F$5="A",0,F132*(1+Client_Register!$S$45))</f>
        <v>0</v>
      </c>
      <c r="G133" s="67" t="n">
        <f aca="false">IF(G$5="A",0,G132*(1+Client_Register!$S$45))</f>
        <v>0</v>
      </c>
      <c r="H133" s="67" t="n">
        <f aca="false">IF(H$5="A",0,H132*(1+Client_Register!$S$45))</f>
        <v>0</v>
      </c>
      <c r="I133" s="67" t="n">
        <f aca="false">IF(I$5="A",0,I132*(1+Client_Register!$S$45))</f>
        <v>0</v>
      </c>
      <c r="J133" s="67" t="n">
        <f aca="false">IF(J$5="A",0,J132*(1+Client_Register!$S$45))</f>
        <v>0</v>
      </c>
      <c r="K133" s="67" t="n">
        <f aca="false">IF(K$5="A",0,K132*(1+Client_Register!$S$45))</f>
        <v>0</v>
      </c>
      <c r="L133" s="67" t="n">
        <f aca="false">IF(L$5="A",0,L132*(1+Client_Register!$S$45))</f>
        <v>0</v>
      </c>
      <c r="M133" s="67" t="n">
        <f aca="false">IF(M$5="A",0,M132*(1+Client_Register!$S$45))</f>
        <v>0</v>
      </c>
      <c r="N133" s="67" t="n">
        <f aca="false">IF(N$5="A",0,N132*(1+Client_Register!$S$45))</f>
        <v>0</v>
      </c>
      <c r="O133" s="67" t="n">
        <f aca="false">IF(O$5="A",0,O132*(1+Client_Register!$S$45))</f>
        <v>0</v>
      </c>
      <c r="P133" s="67" t="n">
        <f aca="false">IF(P$5="A",0,P132*(1+Client_Register!$S$45))</f>
        <v>0</v>
      </c>
      <c r="Q133" s="67" t="n">
        <f aca="false">IF(Q$5="A",0,Q132*(1+Client_Register!$S$45))</f>
        <v>0</v>
      </c>
      <c r="R133" s="67" t="n">
        <f aca="false">IF(R$5="A",0,R132*(1+Client_Register!$S$45))</f>
        <v>0</v>
      </c>
      <c r="S133" s="67" t="n">
        <f aca="false">IF(S$5="A",0,S132*(1+Client_Register!$S$45))</f>
        <v>41.25</v>
      </c>
      <c r="T133" s="67" t="n">
        <f aca="false">IF(T$5="A",0,T132*(1+Client_Register!$S$45))</f>
        <v>41.25</v>
      </c>
      <c r="U133" s="67" t="n">
        <f aca="false">IF(U$5="A",0,U132*(1+Client_Register!$S$45))</f>
        <v>41.25</v>
      </c>
      <c r="V133" s="67" t="n">
        <f aca="false">IF(V$5="A",0,V132*(1+Client_Register!$S$45))</f>
        <v>41.25</v>
      </c>
      <c r="W133" s="67" t="n">
        <f aca="false">IF(W$5="A",0,W132*(1+Client_Register!$S$45))</f>
        <v>41.25</v>
      </c>
      <c r="X133" s="67" t="n">
        <f aca="false">IF(X$5="A",0,X132*(1+Client_Register!$S$45))</f>
        <v>41.25</v>
      </c>
      <c r="Y133" s="67" t="n">
        <f aca="false">IF(Y$5="A",0,Y132*(1+Client_Register!$S$45))</f>
        <v>41.25</v>
      </c>
      <c r="Z133" s="67" t="n">
        <f aca="false">IF(Z$5="A",0,Z132*(1+Client_Register!$S$45))</f>
        <v>41.25</v>
      </c>
      <c r="AA133" s="67" t="n">
        <f aca="false">IF(AA$5="A",0,AA132*(1+Client_Register!$S$45))</f>
        <v>41.25</v>
      </c>
      <c r="AB133" s="67" t="n">
        <f aca="false">IF(AB$5="A",0,AB132*(1+Client_Register!$S$45))</f>
        <v>41.25</v>
      </c>
    </row>
    <row r="134" customFormat="false" ht="15" hidden="false" customHeight="false" outlineLevel="0" collapsed="false">
      <c r="A134" s="28" t="s">
        <v>860</v>
      </c>
      <c r="B134" s="58" t="s">
        <v>861</v>
      </c>
      <c r="C134" s="66" t="n">
        <f aca="false">SUM(E134:P134)</f>
        <v>0</v>
      </c>
      <c r="D134" s="66" t="n">
        <f aca="false">SUM(Q134:AB134)</f>
        <v>37.5</v>
      </c>
      <c r="E134" s="72" t="n">
        <f aca="false">E133-E132</f>
        <v>0</v>
      </c>
      <c r="F134" s="72" t="n">
        <f aca="false">F133-F132</f>
        <v>0</v>
      </c>
      <c r="G134" s="72" t="n">
        <f aca="false">G133-G132</f>
        <v>0</v>
      </c>
      <c r="H134" s="72" t="n">
        <f aca="false">H133-H132</f>
        <v>0</v>
      </c>
      <c r="I134" s="72" t="n">
        <f aca="false">I133-I132</f>
        <v>0</v>
      </c>
      <c r="J134" s="72" t="n">
        <f aca="false">J133-J132</f>
        <v>0</v>
      </c>
      <c r="K134" s="72" t="n">
        <f aca="false">K133-K132</f>
        <v>0</v>
      </c>
      <c r="L134" s="72" t="n">
        <f aca="false">L133-L132</f>
        <v>0</v>
      </c>
      <c r="M134" s="72" t="n">
        <f aca="false">M133-M132</f>
        <v>0</v>
      </c>
      <c r="N134" s="72" t="n">
        <f aca="false">N133-N132</f>
        <v>0</v>
      </c>
      <c r="O134" s="72" t="n">
        <f aca="false">O133-O132</f>
        <v>0</v>
      </c>
      <c r="P134" s="72" t="n">
        <f aca="false">P133-P132</f>
        <v>0</v>
      </c>
      <c r="Q134" s="72" t="n">
        <f aca="false">Q133-Q132</f>
        <v>0</v>
      </c>
      <c r="R134" s="72" t="n">
        <f aca="false">R133-R132</f>
        <v>0</v>
      </c>
      <c r="S134" s="72" t="n">
        <f aca="false">S133-S132</f>
        <v>3.75</v>
      </c>
      <c r="T134" s="72" t="n">
        <f aca="false">T133-T132</f>
        <v>3.75</v>
      </c>
      <c r="U134" s="72" t="n">
        <f aca="false">U133-U132</f>
        <v>3.75</v>
      </c>
      <c r="V134" s="72" t="n">
        <f aca="false">V133-V132</f>
        <v>3.75</v>
      </c>
      <c r="W134" s="72" t="n">
        <f aca="false">W133-W132</f>
        <v>3.75</v>
      </c>
      <c r="X134" s="72" t="n">
        <f aca="false">X133-X132</f>
        <v>3.75</v>
      </c>
      <c r="Y134" s="72" t="n">
        <f aca="false">Y133-Y132</f>
        <v>3.75</v>
      </c>
      <c r="Z134" s="72" t="n">
        <f aca="false">Z133-Z132</f>
        <v>3.75</v>
      </c>
      <c r="AA134" s="72" t="n">
        <f aca="false">AA133-AA132</f>
        <v>3.75</v>
      </c>
      <c r="AB134" s="72" t="n">
        <f aca="false">AB133-AB132</f>
        <v>3.75</v>
      </c>
    </row>
    <row r="135" customFormat="false" ht="15" hidden="false" customHeight="false" outlineLevel="0" collapsed="false">
      <c r="A135" s="28" t="s">
        <v>862</v>
      </c>
      <c r="B135" s="58" t="s">
        <v>863</v>
      </c>
      <c r="C135" s="59" t="n">
        <f aca="false">SUM(E135:P135)</f>
        <v>0</v>
      </c>
      <c r="D135" s="59" t="n">
        <f aca="false">SUM(Q135:AB135)</f>
        <v>1828.93591139241</v>
      </c>
      <c r="E135" s="60" t="n">
        <f aca="false">E134*Utilisation!E89</f>
        <v>0</v>
      </c>
      <c r="F135" s="60" t="n">
        <f aca="false">F134*Utilisation!F89</f>
        <v>0</v>
      </c>
      <c r="G135" s="60" t="n">
        <f aca="false">G134*Utilisation!G89</f>
        <v>0</v>
      </c>
      <c r="H135" s="60" t="n">
        <f aca="false">H134*Utilisation!H89</f>
        <v>0</v>
      </c>
      <c r="I135" s="60" t="n">
        <f aca="false">I134*Utilisation!I89</f>
        <v>0</v>
      </c>
      <c r="J135" s="60" t="n">
        <f aca="false">J134*Utilisation!J89</f>
        <v>0</v>
      </c>
      <c r="K135" s="60" t="n">
        <f aca="false">K134*Utilisation!K89</f>
        <v>0</v>
      </c>
      <c r="L135" s="60" t="n">
        <f aca="false">L134*Utilisation!L89</f>
        <v>0</v>
      </c>
      <c r="M135" s="60" t="n">
        <f aca="false">M134*Utilisation!M89</f>
        <v>0</v>
      </c>
      <c r="N135" s="60" t="n">
        <f aca="false">N134*Utilisation!N89</f>
        <v>0</v>
      </c>
      <c r="O135" s="60" t="n">
        <f aca="false">O134*Utilisation!O89</f>
        <v>0</v>
      </c>
      <c r="P135" s="60" t="n">
        <f aca="false">P134*Utilisation!P89</f>
        <v>0</v>
      </c>
      <c r="Q135" s="60" t="n">
        <f aca="false">Q134*Utilisation!Q89</f>
        <v>0</v>
      </c>
      <c r="R135" s="60" t="n">
        <f aca="false">R134*Utilisation!R89</f>
        <v>0</v>
      </c>
      <c r="S135" s="60" t="n">
        <f aca="false">S134*Utilisation!S89</f>
        <v>182.893591139241</v>
      </c>
      <c r="T135" s="60" t="n">
        <f aca="false">T134*Utilisation!T89</f>
        <v>182.893591139241</v>
      </c>
      <c r="U135" s="60" t="n">
        <f aca="false">U134*Utilisation!U89</f>
        <v>182.893591139241</v>
      </c>
      <c r="V135" s="60" t="n">
        <f aca="false">V134*Utilisation!V89</f>
        <v>182.893591139241</v>
      </c>
      <c r="W135" s="60" t="n">
        <f aca="false">W134*Utilisation!W89</f>
        <v>182.893591139241</v>
      </c>
      <c r="X135" s="60" t="n">
        <f aca="false">X134*Utilisation!X89</f>
        <v>182.893591139241</v>
      </c>
      <c r="Y135" s="60" t="n">
        <f aca="false">Y134*Utilisation!Y89</f>
        <v>182.893591139241</v>
      </c>
      <c r="Z135" s="60" t="n">
        <f aca="false">Z134*Utilisation!Z89</f>
        <v>182.893591139241</v>
      </c>
      <c r="AA135" s="60" t="n">
        <f aca="false">AA134*Utilisation!AA89</f>
        <v>182.893591139241</v>
      </c>
      <c r="AB135" s="60" t="n">
        <f aca="false">AB134*Utilisation!AB89</f>
        <v>182.893591139241</v>
      </c>
    </row>
    <row r="136" customFormat="false" ht="15" hidden="false" customHeight="false" outlineLevel="0" collapsed="false">
      <c r="A136" s="28" t="s">
        <v>864</v>
      </c>
      <c r="B136" s="58" t="s">
        <v>865</v>
      </c>
      <c r="C136" s="59" t="n">
        <f aca="false">SUM(E136:P136)</f>
        <v>0</v>
      </c>
      <c r="D136" s="59" t="n">
        <f aca="false">SUM(Q136:AB136)</f>
        <v>36000</v>
      </c>
      <c r="E136" s="71" t="n">
        <f aca="false">IF(E$5="A",0,E130)</f>
        <v>0</v>
      </c>
      <c r="F136" s="71" t="n">
        <f aca="false">IF(F$5="A",0,F130)</f>
        <v>0</v>
      </c>
      <c r="G136" s="71" t="n">
        <f aca="false">IF(G$5="A",0,G130)</f>
        <v>0</v>
      </c>
      <c r="H136" s="71" t="n">
        <f aca="false">IF(H$5="A",0,H130)</f>
        <v>0</v>
      </c>
      <c r="I136" s="71" t="n">
        <f aca="false">IF(I$5="A",0,I130)</f>
        <v>0</v>
      </c>
      <c r="J136" s="71" t="n">
        <f aca="false">IF(J$5="A",0,J130)</f>
        <v>0</v>
      </c>
      <c r="K136" s="71" t="n">
        <f aca="false">IF(K$5="A",0,K130)</f>
        <v>0</v>
      </c>
      <c r="L136" s="71" t="n">
        <f aca="false">IF(L$5="A",0,L130)</f>
        <v>0</v>
      </c>
      <c r="M136" s="71" t="n">
        <f aca="false">IF(M$5="A",0,M130)</f>
        <v>0</v>
      </c>
      <c r="N136" s="71" t="n">
        <f aca="false">IF(N$5="A",0,N130)</f>
        <v>0</v>
      </c>
      <c r="O136" s="71" t="n">
        <f aca="false">IF(O$5="A",0,O130)</f>
        <v>0</v>
      </c>
      <c r="P136" s="71" t="n">
        <f aca="false">IF(P$5="A",0,P130)</f>
        <v>0</v>
      </c>
      <c r="Q136" s="71" t="n">
        <f aca="false">IF(Q$5="A",0,Q130)</f>
        <v>0</v>
      </c>
      <c r="R136" s="71" t="n">
        <f aca="false">IF(R$5="A",0,R130)</f>
        <v>0</v>
      </c>
      <c r="S136" s="71" t="n">
        <f aca="false">IF(S$5="A",0,S130)</f>
        <v>3600</v>
      </c>
      <c r="T136" s="71" t="n">
        <f aca="false">IF(T$5="A",0,T130)</f>
        <v>3600</v>
      </c>
      <c r="U136" s="71" t="n">
        <f aca="false">IF(U$5="A",0,U130)</f>
        <v>3600</v>
      </c>
      <c r="V136" s="71" t="n">
        <f aca="false">IF(V$5="A",0,V130)</f>
        <v>3600</v>
      </c>
      <c r="W136" s="71" t="n">
        <f aca="false">IF(W$5="A",0,W130)</f>
        <v>3600</v>
      </c>
      <c r="X136" s="71" t="n">
        <f aca="false">IF(X$5="A",0,X130)</f>
        <v>3600</v>
      </c>
      <c r="Y136" s="71" t="n">
        <f aca="false">IF(Y$5="A",0,Y130)</f>
        <v>3600</v>
      </c>
      <c r="Z136" s="71" t="n">
        <f aca="false">IF(Z$5="A",0,Z130)</f>
        <v>3600</v>
      </c>
      <c r="AA136" s="71" t="n">
        <f aca="false">IF(AA$5="A",0,AA130)</f>
        <v>3600</v>
      </c>
      <c r="AB136" s="71" t="n">
        <f aca="false">IF(AB$5="A",0,AB130)</f>
        <v>3600</v>
      </c>
    </row>
    <row r="138" customFormat="false" ht="15" hidden="false" customHeight="false" outlineLevel="0" collapsed="false">
      <c r="A138" s="22" t="s">
        <v>881</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row>
    <row r="139" customFormat="false" ht="15" hidden="false" customHeight="false" outlineLevel="0" collapsed="false">
      <c r="A139" s="28" t="s">
        <v>852</v>
      </c>
      <c r="B139" s="58" t="s">
        <v>79</v>
      </c>
      <c r="C139" s="110" t="n">
        <f aca="false">AVERAGE(E139:P139)</f>
        <v>0</v>
      </c>
      <c r="D139" s="110" t="n">
        <f aca="false">AVERAGE(Q139:AB139)</f>
        <v>0.3</v>
      </c>
      <c r="E139" s="93" t="n">
        <f aca="false">IF(Assumptions!E$99&gt;=Client_Register!$P$46,Client_Register!$N$46,0)</f>
        <v>0</v>
      </c>
      <c r="F139" s="93" t="n">
        <f aca="false">IF(Assumptions!F$99&gt;=Client_Register!$P$46,Client_Register!$N$46,0)</f>
        <v>0</v>
      </c>
      <c r="G139" s="93" t="n">
        <f aca="false">IF(Assumptions!G$99&gt;=Client_Register!$P$46,Client_Register!$N$46,0)</f>
        <v>0</v>
      </c>
      <c r="H139" s="93" t="n">
        <f aca="false">IF(Assumptions!H$99&gt;=Client_Register!$P$46,Client_Register!$N$46,0)</f>
        <v>0</v>
      </c>
      <c r="I139" s="93" t="n">
        <f aca="false">IF(Assumptions!I$99&gt;=Client_Register!$P$46,Client_Register!$N$46,0)</f>
        <v>0</v>
      </c>
      <c r="J139" s="93" t="n">
        <f aca="false">IF(Assumptions!J$99&gt;=Client_Register!$P$46,Client_Register!$N$46,0)</f>
        <v>0</v>
      </c>
      <c r="K139" s="93" t="n">
        <f aca="false">IF(Assumptions!K$99&gt;=Client_Register!$P$46,Client_Register!$N$46,0)</f>
        <v>0</v>
      </c>
      <c r="L139" s="93" t="n">
        <f aca="false">IF(Assumptions!L$99&gt;=Client_Register!$P$46,Client_Register!$N$46,0)</f>
        <v>0</v>
      </c>
      <c r="M139" s="93" t="n">
        <f aca="false">IF(Assumptions!M$99&gt;=Client_Register!$P$46,Client_Register!$N$46,0)</f>
        <v>0</v>
      </c>
      <c r="N139" s="93" t="n">
        <f aca="false">IF(Assumptions!N$99&gt;=Client_Register!$P$46,Client_Register!$N$46,0)</f>
        <v>0</v>
      </c>
      <c r="O139" s="93" t="n">
        <f aca="false">IF(Assumptions!O$99&gt;=Client_Register!$P$46,Client_Register!$N$46,0)</f>
        <v>0</v>
      </c>
      <c r="P139" s="93" t="n">
        <f aca="false">IF(Assumptions!P$99&gt;=Client_Register!$P$46,Client_Register!$N$46,0)</f>
        <v>0</v>
      </c>
      <c r="Q139" s="93" t="n">
        <f aca="false">IF(Assumptions!Q$99&gt;=Client_Register!$P$46,Client_Register!$N$46,0)</f>
        <v>0</v>
      </c>
      <c r="R139" s="93" t="n">
        <f aca="false">IF(Assumptions!R$99&gt;=Client_Register!$P$46,Client_Register!$N$46,0)</f>
        <v>0</v>
      </c>
      <c r="S139" s="93" t="n">
        <f aca="false">IF(Assumptions!S$99&gt;=Client_Register!$P$46,Client_Register!$N$46,0)</f>
        <v>0</v>
      </c>
      <c r="T139" s="93" t="n">
        <f aca="false">IF(Assumptions!T$99&gt;=Client_Register!$P$46,Client_Register!$N$46,0)</f>
        <v>0.4</v>
      </c>
      <c r="U139" s="93" t="n">
        <f aca="false">IF(Assumptions!U$99&gt;=Client_Register!$P$46,Client_Register!$N$46,0)</f>
        <v>0.4</v>
      </c>
      <c r="V139" s="93" t="n">
        <f aca="false">IF(Assumptions!V$99&gt;=Client_Register!$P$46,Client_Register!$N$46,0)</f>
        <v>0.4</v>
      </c>
      <c r="W139" s="93" t="n">
        <f aca="false">IF(Assumptions!W$99&gt;=Client_Register!$P$46,Client_Register!$N$46,0)</f>
        <v>0.4</v>
      </c>
      <c r="X139" s="93" t="n">
        <f aca="false">IF(Assumptions!X$99&gt;=Client_Register!$P$46,Client_Register!$N$46,0)</f>
        <v>0.4</v>
      </c>
      <c r="Y139" s="93" t="n">
        <f aca="false">IF(Assumptions!Y$99&gt;=Client_Register!$P$46,Client_Register!$N$46,0)</f>
        <v>0.4</v>
      </c>
      <c r="Z139" s="93" t="n">
        <f aca="false">IF(Assumptions!Z$99&gt;=Client_Register!$P$46,Client_Register!$N$46,0)</f>
        <v>0.4</v>
      </c>
      <c r="AA139" s="93" t="n">
        <f aca="false">IF(Assumptions!AA$99&gt;=Client_Register!$P$46,Client_Register!$N$46,0)</f>
        <v>0.4</v>
      </c>
      <c r="AB139" s="93" t="n">
        <f aca="false">IF(Assumptions!AB$99&gt;=Client_Register!$P$46,Client_Register!$N$46,0)</f>
        <v>0.4</v>
      </c>
    </row>
    <row r="140" customFormat="false" ht="15" hidden="false" customHeight="false" outlineLevel="0" collapsed="false">
      <c r="A140" s="28" t="s">
        <v>874</v>
      </c>
      <c r="B140" s="58" t="s">
        <v>854</v>
      </c>
      <c r="C140" s="59" t="n">
        <f aca="false">SUM(E140:P140)</f>
        <v>0</v>
      </c>
      <c r="D140" s="59" t="n">
        <f aca="false">SUM(Q140:AB140)</f>
        <v>39600</v>
      </c>
      <c r="E140" s="60" t="n">
        <f aca="false">IF(E$5="A",0,Client_Register!$G$46*E139*IF(Assumptions!E$99&gt;Client_Register!$Q$46,1+Assumptions!$F$114,1))</f>
        <v>0</v>
      </c>
      <c r="F140" s="60" t="n">
        <f aca="false">IF(F$5="A",0,Client_Register!$G$46*F139*IF(Assumptions!F$99&gt;Client_Register!$Q$46,1+Assumptions!$F$114,1))</f>
        <v>0</v>
      </c>
      <c r="G140" s="60" t="n">
        <f aca="false">IF(G$5="A",0,Client_Register!$G$46*G139*IF(Assumptions!G$99&gt;Client_Register!$Q$46,1+Assumptions!$F$114,1))</f>
        <v>0</v>
      </c>
      <c r="H140" s="60" t="n">
        <f aca="false">IF(H$5="A",0,Client_Register!$G$46*H139*IF(Assumptions!H$99&gt;Client_Register!$Q$46,1+Assumptions!$F$114,1))</f>
        <v>0</v>
      </c>
      <c r="I140" s="60" t="n">
        <f aca="false">IF(I$5="A",0,Client_Register!$G$46*I139*IF(Assumptions!I$99&gt;Client_Register!$Q$46,1+Assumptions!$F$114,1))</f>
        <v>0</v>
      </c>
      <c r="J140" s="60" t="n">
        <f aca="false">IF(J$5="A",0,Client_Register!$G$46*J139*IF(Assumptions!J$99&gt;Client_Register!$Q$46,1+Assumptions!$F$114,1))</f>
        <v>0</v>
      </c>
      <c r="K140" s="60" t="n">
        <f aca="false">IF(K$5="A",0,Client_Register!$G$46*K139*IF(Assumptions!K$99&gt;Client_Register!$Q$46,1+Assumptions!$F$114,1))</f>
        <v>0</v>
      </c>
      <c r="L140" s="60" t="n">
        <f aca="false">IF(L$5="A",0,Client_Register!$G$46*L139*IF(Assumptions!L$99&gt;Client_Register!$Q$46,1+Assumptions!$F$114,1))</f>
        <v>0</v>
      </c>
      <c r="M140" s="60" t="n">
        <f aca="false">IF(M$5="A",0,Client_Register!$G$46*M139*IF(Assumptions!M$99&gt;Client_Register!$Q$46,1+Assumptions!$F$114,1))</f>
        <v>0</v>
      </c>
      <c r="N140" s="60" t="n">
        <f aca="false">IF(N$5="A",0,Client_Register!$G$46*N139*IF(Assumptions!N$99&gt;Client_Register!$Q$46,1+Assumptions!$F$114,1))</f>
        <v>0</v>
      </c>
      <c r="O140" s="60" t="n">
        <f aca="false">IF(O$5="A",0,Client_Register!$G$46*O139*IF(Assumptions!O$99&gt;Client_Register!$Q$46,1+Assumptions!$F$114,1))</f>
        <v>0</v>
      </c>
      <c r="P140" s="60" t="n">
        <f aca="false">IF(P$5="A",0,Client_Register!$G$46*P139*IF(Assumptions!P$99&gt;Client_Register!$Q$46,1+Assumptions!$F$114,1))</f>
        <v>0</v>
      </c>
      <c r="Q140" s="60" t="n">
        <f aca="false">IF(Q$5="A",0,Client_Register!$G$46*Q139*IF(Assumptions!Q$99&gt;Client_Register!$Q$46,1+Assumptions!$F$114,1))</f>
        <v>0</v>
      </c>
      <c r="R140" s="60" t="n">
        <f aca="false">IF(R$5="A",0,Client_Register!$G$46*R139*IF(Assumptions!R$99&gt;Client_Register!$Q$46,1+Assumptions!$F$114,1))</f>
        <v>0</v>
      </c>
      <c r="S140" s="60" t="n">
        <f aca="false">IF(S$5="A",0,Client_Register!$G$46*S139*IF(Assumptions!S$99&gt;Client_Register!$Q$46,1+Assumptions!$F$114,1))</f>
        <v>0</v>
      </c>
      <c r="T140" s="60" t="n">
        <f aca="false">IF(T$5="A",0,Client_Register!$G$46*T139*IF(Assumptions!T$99&gt;Client_Register!$Q$46,1+Assumptions!$F$114,1))</f>
        <v>4400</v>
      </c>
      <c r="U140" s="60" t="n">
        <f aca="false">IF(U$5="A",0,Client_Register!$G$46*U139*IF(Assumptions!U$99&gt;Client_Register!$Q$46,1+Assumptions!$F$114,1))</f>
        <v>4400</v>
      </c>
      <c r="V140" s="60" t="n">
        <f aca="false">IF(V$5="A",0,Client_Register!$G$46*V139*IF(Assumptions!V$99&gt;Client_Register!$Q$46,1+Assumptions!$F$114,1))</f>
        <v>4400</v>
      </c>
      <c r="W140" s="60" t="n">
        <f aca="false">IF(W$5="A",0,Client_Register!$G$46*W139*IF(Assumptions!W$99&gt;Client_Register!$Q$46,1+Assumptions!$F$114,1))</f>
        <v>4400</v>
      </c>
      <c r="X140" s="60" t="n">
        <f aca="false">IF(X$5="A",0,Client_Register!$G$46*X139*IF(Assumptions!X$99&gt;Client_Register!$Q$46,1+Assumptions!$F$114,1))</f>
        <v>4400</v>
      </c>
      <c r="Y140" s="60" t="n">
        <f aca="false">IF(Y$5="A",0,Client_Register!$G$46*Y139*IF(Assumptions!Y$99&gt;Client_Register!$Q$46,1+Assumptions!$F$114,1))</f>
        <v>4400</v>
      </c>
      <c r="Z140" s="60" t="n">
        <f aca="false">IF(Z$5="A",0,Client_Register!$G$46*Z139*IF(Assumptions!Z$99&gt;Client_Register!$Q$46,1+Assumptions!$F$114,1))</f>
        <v>4400</v>
      </c>
      <c r="AA140" s="60" t="n">
        <f aca="false">IF(AA$5="A",0,Client_Register!$G$46*AA139*IF(Assumptions!AA$99&gt;Client_Register!$Q$46,1+Assumptions!$F$114,1))</f>
        <v>4400</v>
      </c>
      <c r="AB140" s="60" t="n">
        <f aca="false">IF(AB$5="A",0,Client_Register!$G$46*AB139*IF(Assumptions!AB$99&gt;Client_Register!$Q$46,1+Assumptions!$F$114,1))</f>
        <v>4400</v>
      </c>
    </row>
    <row r="141" customFormat="false" ht="15" hidden="false" customHeight="false" outlineLevel="0" collapsed="false">
      <c r="A141" s="28" t="s">
        <v>855</v>
      </c>
      <c r="B141" s="58" t="s">
        <v>856</v>
      </c>
      <c r="C141" s="59" t="n">
        <f aca="false">SUM(E141:P141)</f>
        <v>0</v>
      </c>
      <c r="D141" s="59" t="n">
        <f aca="false">SUM(Q141:AB141)</f>
        <v>39600</v>
      </c>
      <c r="E141" s="71" t="n">
        <f aca="false">E140/1</f>
        <v>0</v>
      </c>
      <c r="F141" s="71" t="n">
        <f aca="false">F140/1</f>
        <v>0</v>
      </c>
      <c r="G141" s="71" t="n">
        <f aca="false">G140/1</f>
        <v>0</v>
      </c>
      <c r="H141" s="71" t="n">
        <f aca="false">H140/1</f>
        <v>0</v>
      </c>
      <c r="I141" s="71" t="n">
        <f aca="false">I140/1</f>
        <v>0</v>
      </c>
      <c r="J141" s="71" t="n">
        <f aca="false">J140/1</f>
        <v>0</v>
      </c>
      <c r="K141" s="71" t="n">
        <f aca="false">K140/1</f>
        <v>0</v>
      </c>
      <c r="L141" s="71" t="n">
        <f aca="false">L140/1</f>
        <v>0</v>
      </c>
      <c r="M141" s="71" t="n">
        <f aca="false">M140/1</f>
        <v>0</v>
      </c>
      <c r="N141" s="71" t="n">
        <f aca="false">N140/1</f>
        <v>0</v>
      </c>
      <c r="O141" s="71" t="n">
        <f aca="false">O140/1</f>
        <v>0</v>
      </c>
      <c r="P141" s="71" t="n">
        <f aca="false">P140/1</f>
        <v>0</v>
      </c>
      <c r="Q141" s="71" t="n">
        <f aca="false">Q140/1</f>
        <v>0</v>
      </c>
      <c r="R141" s="71" t="n">
        <f aca="false">R140/1</f>
        <v>0</v>
      </c>
      <c r="S141" s="71" t="n">
        <f aca="false">S140/1</f>
        <v>0</v>
      </c>
      <c r="T141" s="71" t="n">
        <f aca="false">T140/1</f>
        <v>4400</v>
      </c>
      <c r="U141" s="71" t="n">
        <f aca="false">U140/1</f>
        <v>4400</v>
      </c>
      <c r="V141" s="71" t="n">
        <f aca="false">V140/1</f>
        <v>4400</v>
      </c>
      <c r="W141" s="71" t="n">
        <f aca="false">W140/1</f>
        <v>4400</v>
      </c>
      <c r="X141" s="71" t="n">
        <f aca="false">X140/1</f>
        <v>4400</v>
      </c>
      <c r="Y141" s="71" t="n">
        <f aca="false">Y140/1</f>
        <v>4400</v>
      </c>
      <c r="Z141" s="71" t="n">
        <f aca="false">Z140/1</f>
        <v>4400</v>
      </c>
      <c r="AA141" s="71" t="n">
        <f aca="false">AA140/1</f>
        <v>4400</v>
      </c>
      <c r="AB141" s="71" t="n">
        <f aca="false">AB140/1</f>
        <v>4400</v>
      </c>
    </row>
    <row r="142" customFormat="false" ht="15" hidden="false" customHeight="false" outlineLevel="0" collapsed="false">
      <c r="A142" s="28" t="s">
        <v>857</v>
      </c>
      <c r="B142" s="58" t="s">
        <v>858</v>
      </c>
      <c r="C142" s="66" t="n">
        <f aca="false">SUM(E142:P142)</f>
        <v>0</v>
      </c>
      <c r="D142" s="66" t="n">
        <f aca="false">SUM(Q142:AB142)</f>
        <v>396</v>
      </c>
      <c r="E142" s="67" t="n">
        <f aca="false">Client_Register!$H$46*E139</f>
        <v>0</v>
      </c>
      <c r="F142" s="67" t="n">
        <f aca="false">Client_Register!$H$46*F139</f>
        <v>0</v>
      </c>
      <c r="G142" s="67" t="n">
        <f aca="false">Client_Register!$H$46*G139</f>
        <v>0</v>
      </c>
      <c r="H142" s="67" t="n">
        <f aca="false">Client_Register!$H$46*H139</f>
        <v>0</v>
      </c>
      <c r="I142" s="67" t="n">
        <f aca="false">Client_Register!$H$46*I139</f>
        <v>0</v>
      </c>
      <c r="J142" s="67" t="n">
        <f aca="false">Client_Register!$H$46*J139</f>
        <v>0</v>
      </c>
      <c r="K142" s="67" t="n">
        <f aca="false">Client_Register!$H$46*K139</f>
        <v>0</v>
      </c>
      <c r="L142" s="67" t="n">
        <f aca="false">Client_Register!$H$46*L139</f>
        <v>0</v>
      </c>
      <c r="M142" s="67" t="n">
        <f aca="false">Client_Register!$H$46*M139</f>
        <v>0</v>
      </c>
      <c r="N142" s="67" t="n">
        <f aca="false">Client_Register!$H$46*N139</f>
        <v>0</v>
      </c>
      <c r="O142" s="67" t="n">
        <f aca="false">Client_Register!$H$46*O139</f>
        <v>0</v>
      </c>
      <c r="P142" s="67" t="n">
        <f aca="false">Client_Register!$H$46*P139</f>
        <v>0</v>
      </c>
      <c r="Q142" s="67" t="n">
        <f aca="false">Client_Register!$H$46*Q139</f>
        <v>0</v>
      </c>
      <c r="R142" s="67" t="n">
        <f aca="false">Client_Register!$H$46*R139</f>
        <v>0</v>
      </c>
      <c r="S142" s="67" t="n">
        <f aca="false">Client_Register!$H$46*S139</f>
        <v>0</v>
      </c>
      <c r="T142" s="67" t="n">
        <f aca="false">Client_Register!$H$46*T139</f>
        <v>44</v>
      </c>
      <c r="U142" s="67" t="n">
        <f aca="false">Client_Register!$H$46*U139</f>
        <v>44</v>
      </c>
      <c r="V142" s="67" t="n">
        <f aca="false">Client_Register!$H$46*V139</f>
        <v>44</v>
      </c>
      <c r="W142" s="67" t="n">
        <f aca="false">Client_Register!$H$46*W139</f>
        <v>44</v>
      </c>
      <c r="X142" s="67" t="n">
        <f aca="false">Client_Register!$H$46*X139</f>
        <v>44</v>
      </c>
      <c r="Y142" s="67" t="n">
        <f aca="false">Client_Register!$H$46*Y139</f>
        <v>44</v>
      </c>
      <c r="Z142" s="67" t="n">
        <f aca="false">Client_Register!$H$46*Z139</f>
        <v>44</v>
      </c>
      <c r="AA142" s="67" t="n">
        <f aca="false">Client_Register!$H$46*AA139</f>
        <v>44</v>
      </c>
      <c r="AB142" s="67" t="n">
        <f aca="false">Client_Register!$H$46*AB139</f>
        <v>44</v>
      </c>
    </row>
    <row r="143" customFormat="false" ht="15" hidden="false" customHeight="false" outlineLevel="0" collapsed="false">
      <c r="A143" s="28" t="s">
        <v>802</v>
      </c>
      <c r="B143" s="58" t="s">
        <v>859</v>
      </c>
      <c r="C143" s="66" t="n">
        <f aca="false">SUM(E143:P143)</f>
        <v>0</v>
      </c>
      <c r="D143" s="66" t="n">
        <f aca="false">SUM(Q143:AB143)</f>
        <v>435.6</v>
      </c>
      <c r="E143" s="67" t="n">
        <f aca="false">IF(E$5="A",0,E142*(1+Client_Register!$S$46))</f>
        <v>0</v>
      </c>
      <c r="F143" s="67" t="n">
        <f aca="false">IF(F$5="A",0,F142*(1+Client_Register!$S$46))</f>
        <v>0</v>
      </c>
      <c r="G143" s="67" t="n">
        <f aca="false">IF(G$5="A",0,G142*(1+Client_Register!$S$46))</f>
        <v>0</v>
      </c>
      <c r="H143" s="67" t="n">
        <f aca="false">IF(H$5="A",0,H142*(1+Client_Register!$S$46))</f>
        <v>0</v>
      </c>
      <c r="I143" s="67" t="n">
        <f aca="false">IF(I$5="A",0,I142*(1+Client_Register!$S$46))</f>
        <v>0</v>
      </c>
      <c r="J143" s="67" t="n">
        <f aca="false">IF(J$5="A",0,J142*(1+Client_Register!$S$46))</f>
        <v>0</v>
      </c>
      <c r="K143" s="67" t="n">
        <f aca="false">IF(K$5="A",0,K142*(1+Client_Register!$S$46))</f>
        <v>0</v>
      </c>
      <c r="L143" s="67" t="n">
        <f aca="false">IF(L$5="A",0,L142*(1+Client_Register!$S$46))</f>
        <v>0</v>
      </c>
      <c r="M143" s="67" t="n">
        <f aca="false">IF(M$5="A",0,M142*(1+Client_Register!$S$46))</f>
        <v>0</v>
      </c>
      <c r="N143" s="67" t="n">
        <f aca="false">IF(N$5="A",0,N142*(1+Client_Register!$S$46))</f>
        <v>0</v>
      </c>
      <c r="O143" s="67" t="n">
        <f aca="false">IF(O$5="A",0,O142*(1+Client_Register!$S$46))</f>
        <v>0</v>
      </c>
      <c r="P143" s="67" t="n">
        <f aca="false">IF(P$5="A",0,P142*(1+Client_Register!$S$46))</f>
        <v>0</v>
      </c>
      <c r="Q143" s="67" t="n">
        <f aca="false">IF(Q$5="A",0,Q142*(1+Client_Register!$S$46))</f>
        <v>0</v>
      </c>
      <c r="R143" s="67" t="n">
        <f aca="false">IF(R$5="A",0,R142*(1+Client_Register!$S$46))</f>
        <v>0</v>
      </c>
      <c r="S143" s="67" t="n">
        <f aca="false">IF(S$5="A",0,S142*(1+Client_Register!$S$46))</f>
        <v>0</v>
      </c>
      <c r="T143" s="67" t="n">
        <f aca="false">IF(T$5="A",0,T142*(1+Client_Register!$S$46))</f>
        <v>48.4</v>
      </c>
      <c r="U143" s="67" t="n">
        <f aca="false">IF(U$5="A",0,U142*(1+Client_Register!$S$46))</f>
        <v>48.4</v>
      </c>
      <c r="V143" s="67" t="n">
        <f aca="false">IF(V$5="A",0,V142*(1+Client_Register!$S$46))</f>
        <v>48.4</v>
      </c>
      <c r="W143" s="67" t="n">
        <f aca="false">IF(W$5="A",0,W142*(1+Client_Register!$S$46))</f>
        <v>48.4</v>
      </c>
      <c r="X143" s="67" t="n">
        <f aca="false">IF(X$5="A",0,X142*(1+Client_Register!$S$46))</f>
        <v>48.4</v>
      </c>
      <c r="Y143" s="67" t="n">
        <f aca="false">IF(Y$5="A",0,Y142*(1+Client_Register!$S$46))</f>
        <v>48.4</v>
      </c>
      <c r="Z143" s="67" t="n">
        <f aca="false">IF(Z$5="A",0,Z142*(1+Client_Register!$S$46))</f>
        <v>48.4</v>
      </c>
      <c r="AA143" s="67" t="n">
        <f aca="false">IF(AA$5="A",0,AA142*(1+Client_Register!$S$46))</f>
        <v>48.4</v>
      </c>
      <c r="AB143" s="67" t="n">
        <f aca="false">IF(AB$5="A",0,AB142*(1+Client_Register!$S$46))</f>
        <v>48.4</v>
      </c>
    </row>
    <row r="144" customFormat="false" ht="15" hidden="false" customHeight="false" outlineLevel="0" collapsed="false">
      <c r="A144" s="28" t="s">
        <v>860</v>
      </c>
      <c r="B144" s="58" t="s">
        <v>861</v>
      </c>
      <c r="C144" s="66" t="n">
        <f aca="false">SUM(E144:P144)</f>
        <v>0</v>
      </c>
      <c r="D144" s="66" t="n">
        <f aca="false">SUM(Q144:AB144)</f>
        <v>39.6000000000001</v>
      </c>
      <c r="E144" s="72" t="n">
        <f aca="false">E143-E142</f>
        <v>0</v>
      </c>
      <c r="F144" s="72" t="n">
        <f aca="false">F143-F142</f>
        <v>0</v>
      </c>
      <c r="G144" s="72" t="n">
        <f aca="false">G143-G142</f>
        <v>0</v>
      </c>
      <c r="H144" s="72" t="n">
        <f aca="false">H143-H142</f>
        <v>0</v>
      </c>
      <c r="I144" s="72" t="n">
        <f aca="false">I143-I142</f>
        <v>0</v>
      </c>
      <c r="J144" s="72" t="n">
        <f aca="false">J143-J142</f>
        <v>0</v>
      </c>
      <c r="K144" s="72" t="n">
        <f aca="false">K143-K142</f>
        <v>0</v>
      </c>
      <c r="L144" s="72" t="n">
        <f aca="false">L143-L142</f>
        <v>0</v>
      </c>
      <c r="M144" s="72" t="n">
        <f aca="false">M143-M142</f>
        <v>0</v>
      </c>
      <c r="N144" s="72" t="n">
        <f aca="false">N143-N142</f>
        <v>0</v>
      </c>
      <c r="O144" s="72" t="n">
        <f aca="false">O143-O142</f>
        <v>0</v>
      </c>
      <c r="P144" s="72" t="n">
        <f aca="false">P143-P142</f>
        <v>0</v>
      </c>
      <c r="Q144" s="72" t="n">
        <f aca="false">Q143-Q142</f>
        <v>0</v>
      </c>
      <c r="R144" s="72" t="n">
        <f aca="false">R143-R142</f>
        <v>0</v>
      </c>
      <c r="S144" s="72" t="n">
        <f aca="false">S143-S142</f>
        <v>0</v>
      </c>
      <c r="T144" s="72" t="n">
        <f aca="false">T143-T142</f>
        <v>4.40000000000001</v>
      </c>
      <c r="U144" s="72" t="n">
        <f aca="false">U143-U142</f>
        <v>4.40000000000001</v>
      </c>
      <c r="V144" s="72" t="n">
        <f aca="false">V143-V142</f>
        <v>4.40000000000001</v>
      </c>
      <c r="W144" s="72" t="n">
        <f aca="false">W143-W142</f>
        <v>4.40000000000001</v>
      </c>
      <c r="X144" s="72" t="n">
        <f aca="false">X143-X142</f>
        <v>4.40000000000001</v>
      </c>
      <c r="Y144" s="72" t="n">
        <f aca="false">Y143-Y142</f>
        <v>4.40000000000001</v>
      </c>
      <c r="Z144" s="72" t="n">
        <f aca="false">Z143-Z142</f>
        <v>4.40000000000001</v>
      </c>
      <c r="AA144" s="72" t="n">
        <f aca="false">AA143-AA142</f>
        <v>4.40000000000001</v>
      </c>
      <c r="AB144" s="72" t="n">
        <f aca="false">AB143-AB142</f>
        <v>4.40000000000001</v>
      </c>
    </row>
    <row r="145" customFormat="false" ht="15" hidden="false" customHeight="false" outlineLevel="0" collapsed="false">
      <c r="A145" s="28" t="s">
        <v>862</v>
      </c>
      <c r="B145" s="58" t="s">
        <v>863</v>
      </c>
      <c r="C145" s="59" t="n">
        <f aca="false">SUM(E145:P145)</f>
        <v>0</v>
      </c>
      <c r="D145" s="59" t="n">
        <f aca="false">SUM(Q145:AB145)</f>
        <v>1925.2395961519</v>
      </c>
      <c r="E145" s="60" t="n">
        <f aca="false">E144*Utilisation!E88</f>
        <v>0</v>
      </c>
      <c r="F145" s="60" t="n">
        <f aca="false">F144*Utilisation!F88</f>
        <v>0</v>
      </c>
      <c r="G145" s="60" t="n">
        <f aca="false">G144*Utilisation!G88</f>
        <v>0</v>
      </c>
      <c r="H145" s="60" t="n">
        <f aca="false">H144*Utilisation!H88</f>
        <v>0</v>
      </c>
      <c r="I145" s="60" t="n">
        <f aca="false">I144*Utilisation!I88</f>
        <v>0</v>
      </c>
      <c r="J145" s="60" t="n">
        <f aca="false">J144*Utilisation!J88</f>
        <v>0</v>
      </c>
      <c r="K145" s="60" t="n">
        <f aca="false">K144*Utilisation!K88</f>
        <v>0</v>
      </c>
      <c r="L145" s="60" t="n">
        <f aca="false">L144*Utilisation!L88</f>
        <v>0</v>
      </c>
      <c r="M145" s="60" t="n">
        <f aca="false">M144*Utilisation!M88</f>
        <v>0</v>
      </c>
      <c r="N145" s="60" t="n">
        <f aca="false">N144*Utilisation!N88</f>
        <v>0</v>
      </c>
      <c r="O145" s="60" t="n">
        <f aca="false">O144*Utilisation!O88</f>
        <v>0</v>
      </c>
      <c r="P145" s="60" t="n">
        <f aca="false">P144*Utilisation!P88</f>
        <v>0</v>
      </c>
      <c r="Q145" s="60" t="n">
        <f aca="false">Q144*Utilisation!Q88</f>
        <v>0</v>
      </c>
      <c r="R145" s="60" t="n">
        <f aca="false">R144*Utilisation!R88</f>
        <v>0</v>
      </c>
      <c r="S145" s="60" t="n">
        <f aca="false">S144*Utilisation!S88</f>
        <v>0</v>
      </c>
      <c r="T145" s="60" t="n">
        <f aca="false">T144*Utilisation!T88</f>
        <v>213.915510683545</v>
      </c>
      <c r="U145" s="60" t="n">
        <f aca="false">U144*Utilisation!U88</f>
        <v>213.915510683545</v>
      </c>
      <c r="V145" s="60" t="n">
        <f aca="false">V144*Utilisation!V88</f>
        <v>213.915510683545</v>
      </c>
      <c r="W145" s="60" t="n">
        <f aca="false">W144*Utilisation!W88</f>
        <v>213.915510683545</v>
      </c>
      <c r="X145" s="60" t="n">
        <f aca="false">X144*Utilisation!X88</f>
        <v>213.915510683545</v>
      </c>
      <c r="Y145" s="60" t="n">
        <f aca="false">Y144*Utilisation!Y88</f>
        <v>213.915510683545</v>
      </c>
      <c r="Z145" s="60" t="n">
        <f aca="false">Z144*Utilisation!Z88</f>
        <v>213.915510683545</v>
      </c>
      <c r="AA145" s="60" t="n">
        <f aca="false">AA144*Utilisation!AA88</f>
        <v>213.915510683545</v>
      </c>
      <c r="AB145" s="60" t="n">
        <f aca="false">AB144*Utilisation!AB88</f>
        <v>213.915510683545</v>
      </c>
    </row>
    <row r="146" customFormat="false" ht="15" hidden="false" customHeight="false" outlineLevel="0" collapsed="false">
      <c r="A146" s="28" t="s">
        <v>864</v>
      </c>
      <c r="B146" s="58" t="s">
        <v>865</v>
      </c>
      <c r="C146" s="59" t="n">
        <f aca="false">SUM(E146:P146)</f>
        <v>0</v>
      </c>
      <c r="D146" s="59" t="n">
        <f aca="false">SUM(Q146:AB146)</f>
        <v>39600</v>
      </c>
      <c r="E146" s="71" t="n">
        <f aca="false">IF(E$5="A",0,E140)</f>
        <v>0</v>
      </c>
      <c r="F146" s="71" t="n">
        <f aca="false">IF(F$5="A",0,F140)</f>
        <v>0</v>
      </c>
      <c r="G146" s="71" t="n">
        <f aca="false">IF(G$5="A",0,G140)</f>
        <v>0</v>
      </c>
      <c r="H146" s="71" t="n">
        <f aca="false">IF(H$5="A",0,H140)</f>
        <v>0</v>
      </c>
      <c r="I146" s="71" t="n">
        <f aca="false">IF(I$5="A",0,I140)</f>
        <v>0</v>
      </c>
      <c r="J146" s="71" t="n">
        <f aca="false">IF(J$5="A",0,J140)</f>
        <v>0</v>
      </c>
      <c r="K146" s="71" t="n">
        <f aca="false">IF(K$5="A",0,K140)</f>
        <v>0</v>
      </c>
      <c r="L146" s="71" t="n">
        <f aca="false">IF(L$5="A",0,L140)</f>
        <v>0</v>
      </c>
      <c r="M146" s="71" t="n">
        <f aca="false">IF(M$5="A",0,M140)</f>
        <v>0</v>
      </c>
      <c r="N146" s="71" t="n">
        <f aca="false">IF(N$5="A",0,N140)</f>
        <v>0</v>
      </c>
      <c r="O146" s="71" t="n">
        <f aca="false">IF(O$5="A",0,O140)</f>
        <v>0</v>
      </c>
      <c r="P146" s="71" t="n">
        <f aca="false">IF(P$5="A",0,P140)</f>
        <v>0</v>
      </c>
      <c r="Q146" s="71" t="n">
        <f aca="false">IF(Q$5="A",0,Q140)</f>
        <v>0</v>
      </c>
      <c r="R146" s="71" t="n">
        <f aca="false">IF(R$5="A",0,R140)</f>
        <v>0</v>
      </c>
      <c r="S146" s="71" t="n">
        <f aca="false">IF(S$5="A",0,S140)</f>
        <v>0</v>
      </c>
      <c r="T146" s="71" t="n">
        <f aca="false">IF(T$5="A",0,T140)</f>
        <v>4400</v>
      </c>
      <c r="U146" s="71" t="n">
        <f aca="false">IF(U$5="A",0,U140)</f>
        <v>4400</v>
      </c>
      <c r="V146" s="71" t="n">
        <f aca="false">IF(V$5="A",0,V140)</f>
        <v>4400</v>
      </c>
      <c r="W146" s="71" t="n">
        <f aca="false">IF(W$5="A",0,W140)</f>
        <v>4400</v>
      </c>
      <c r="X146" s="71" t="n">
        <f aca="false">IF(X$5="A",0,X140)</f>
        <v>4400</v>
      </c>
      <c r="Y146" s="71" t="n">
        <f aca="false">IF(Y$5="A",0,Y140)</f>
        <v>4400</v>
      </c>
      <c r="Z146" s="71" t="n">
        <f aca="false">IF(Z$5="A",0,Z140)</f>
        <v>4400</v>
      </c>
      <c r="AA146" s="71" t="n">
        <f aca="false">IF(AA$5="A",0,AA140)</f>
        <v>4400</v>
      </c>
      <c r="AB146" s="71" t="n">
        <f aca="false">IF(AB$5="A",0,AB140)</f>
        <v>4400</v>
      </c>
    </row>
    <row r="148" customFormat="false" ht="15" hidden="false" customHeight="false" outlineLevel="0" collapsed="false">
      <c r="A148" s="22" t="s">
        <v>882</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row>
    <row r="149" customFormat="false" ht="15" hidden="false" customHeight="false" outlineLevel="0" collapsed="false">
      <c r="A149" s="28" t="s">
        <v>852</v>
      </c>
      <c r="B149" s="58" t="s">
        <v>79</v>
      </c>
      <c r="C149" s="110" t="n">
        <f aca="false">AVERAGE(E149:P149)</f>
        <v>0</v>
      </c>
      <c r="D149" s="110" t="n">
        <f aca="false">AVERAGE(Q149:AB149)</f>
        <v>0.204166666666667</v>
      </c>
      <c r="E149" s="93" t="n">
        <f aca="false">IF(Assumptions!E$99&gt;=Client_Register!$P$47,Client_Register!$N$47,0)</f>
        <v>0</v>
      </c>
      <c r="F149" s="93" t="n">
        <f aca="false">IF(Assumptions!F$99&gt;=Client_Register!$P$47,Client_Register!$N$47,0)</f>
        <v>0</v>
      </c>
      <c r="G149" s="93" t="n">
        <f aca="false">IF(Assumptions!G$99&gt;=Client_Register!$P$47,Client_Register!$N$47,0)</f>
        <v>0</v>
      </c>
      <c r="H149" s="93" t="n">
        <f aca="false">IF(Assumptions!H$99&gt;=Client_Register!$P$47,Client_Register!$N$47,0)</f>
        <v>0</v>
      </c>
      <c r="I149" s="93" t="n">
        <f aca="false">IF(Assumptions!I$99&gt;=Client_Register!$P$47,Client_Register!$N$47,0)</f>
        <v>0</v>
      </c>
      <c r="J149" s="93" t="n">
        <f aca="false">IF(Assumptions!J$99&gt;=Client_Register!$P$47,Client_Register!$N$47,0)</f>
        <v>0</v>
      </c>
      <c r="K149" s="93" t="n">
        <f aca="false">IF(Assumptions!K$99&gt;=Client_Register!$P$47,Client_Register!$N$47,0)</f>
        <v>0</v>
      </c>
      <c r="L149" s="93" t="n">
        <f aca="false">IF(Assumptions!L$99&gt;=Client_Register!$P$47,Client_Register!$N$47,0)</f>
        <v>0</v>
      </c>
      <c r="M149" s="93" t="n">
        <f aca="false">IF(Assumptions!M$99&gt;=Client_Register!$P$47,Client_Register!$N$47,0)</f>
        <v>0</v>
      </c>
      <c r="N149" s="93" t="n">
        <f aca="false">IF(Assumptions!N$99&gt;=Client_Register!$P$47,Client_Register!$N$47,0)</f>
        <v>0</v>
      </c>
      <c r="O149" s="93" t="n">
        <f aca="false">IF(Assumptions!O$99&gt;=Client_Register!$P$47,Client_Register!$N$47,0)</f>
        <v>0</v>
      </c>
      <c r="P149" s="93" t="n">
        <f aca="false">IF(Assumptions!P$99&gt;=Client_Register!$P$47,Client_Register!$N$47,0)</f>
        <v>0</v>
      </c>
      <c r="Q149" s="93" t="n">
        <f aca="false">IF(Assumptions!Q$99&gt;=Client_Register!$P$47,Client_Register!$N$47,0)</f>
        <v>0</v>
      </c>
      <c r="R149" s="93" t="n">
        <f aca="false">IF(Assumptions!R$99&gt;=Client_Register!$P$47,Client_Register!$N$47,0)</f>
        <v>0</v>
      </c>
      <c r="S149" s="93" t="n">
        <f aca="false">IF(Assumptions!S$99&gt;=Client_Register!$P$47,Client_Register!$N$47,0)</f>
        <v>0</v>
      </c>
      <c r="T149" s="93" t="n">
        <f aca="false">IF(Assumptions!T$99&gt;=Client_Register!$P$47,Client_Register!$N$47,0)</f>
        <v>0</v>
      </c>
      <c r="U149" s="93" t="n">
        <f aca="false">IF(Assumptions!U$99&gt;=Client_Register!$P$47,Client_Register!$N$47,0)</f>
        <v>0</v>
      </c>
      <c r="V149" s="93" t="n">
        <f aca="false">IF(Assumptions!V$99&gt;=Client_Register!$P$47,Client_Register!$N$47,0)</f>
        <v>0.35</v>
      </c>
      <c r="W149" s="93" t="n">
        <f aca="false">IF(Assumptions!W$99&gt;=Client_Register!$P$47,Client_Register!$N$47,0)</f>
        <v>0.35</v>
      </c>
      <c r="X149" s="93" t="n">
        <f aca="false">IF(Assumptions!X$99&gt;=Client_Register!$P$47,Client_Register!$N$47,0)</f>
        <v>0.35</v>
      </c>
      <c r="Y149" s="93" t="n">
        <f aca="false">IF(Assumptions!Y$99&gt;=Client_Register!$P$47,Client_Register!$N$47,0)</f>
        <v>0.35</v>
      </c>
      <c r="Z149" s="93" t="n">
        <f aca="false">IF(Assumptions!Z$99&gt;=Client_Register!$P$47,Client_Register!$N$47,0)</f>
        <v>0.35</v>
      </c>
      <c r="AA149" s="93" t="n">
        <f aca="false">IF(Assumptions!AA$99&gt;=Client_Register!$P$47,Client_Register!$N$47,0)</f>
        <v>0.35</v>
      </c>
      <c r="AB149" s="93" t="n">
        <f aca="false">IF(Assumptions!AB$99&gt;=Client_Register!$P$47,Client_Register!$N$47,0)</f>
        <v>0.35</v>
      </c>
    </row>
    <row r="150" customFormat="false" ht="15" hidden="false" customHeight="false" outlineLevel="0" collapsed="false">
      <c r="A150" s="28" t="s">
        <v>853</v>
      </c>
      <c r="B150" s="58" t="s">
        <v>854</v>
      </c>
      <c r="C150" s="59" t="n">
        <f aca="false">SUM(E150:P150)</f>
        <v>0</v>
      </c>
      <c r="D150" s="59" t="n">
        <f aca="false">SUM(Q150:AB150)</f>
        <v>49000</v>
      </c>
      <c r="E150" s="60" t="n">
        <f aca="false">IF(E$5="A",0,Client_Register!$G$47*E149*IF(Assumptions!E$99&gt;Client_Register!$Q$47,1+Assumptions!$F$114,1))</f>
        <v>0</v>
      </c>
      <c r="F150" s="60" t="n">
        <f aca="false">IF(F$5="A",0,Client_Register!$G$47*F149*IF(Assumptions!F$99&gt;Client_Register!$Q$47,1+Assumptions!$F$114,1))</f>
        <v>0</v>
      </c>
      <c r="G150" s="60" t="n">
        <f aca="false">IF(G$5="A",0,Client_Register!$G$47*G149*IF(Assumptions!G$99&gt;Client_Register!$Q$47,1+Assumptions!$F$114,1))</f>
        <v>0</v>
      </c>
      <c r="H150" s="60" t="n">
        <f aca="false">IF(H$5="A",0,Client_Register!$G$47*H149*IF(Assumptions!H$99&gt;Client_Register!$Q$47,1+Assumptions!$F$114,1))</f>
        <v>0</v>
      </c>
      <c r="I150" s="60" t="n">
        <f aca="false">IF(I$5="A",0,Client_Register!$G$47*I149*IF(Assumptions!I$99&gt;Client_Register!$Q$47,1+Assumptions!$F$114,1))</f>
        <v>0</v>
      </c>
      <c r="J150" s="60" t="n">
        <f aca="false">IF(J$5="A",0,Client_Register!$G$47*J149*IF(Assumptions!J$99&gt;Client_Register!$Q$47,1+Assumptions!$F$114,1))</f>
        <v>0</v>
      </c>
      <c r="K150" s="60" t="n">
        <f aca="false">IF(K$5="A",0,Client_Register!$G$47*K149*IF(Assumptions!K$99&gt;Client_Register!$Q$47,1+Assumptions!$F$114,1))</f>
        <v>0</v>
      </c>
      <c r="L150" s="60" t="n">
        <f aca="false">IF(L$5="A",0,Client_Register!$G$47*L149*IF(Assumptions!L$99&gt;Client_Register!$Q$47,1+Assumptions!$F$114,1))</f>
        <v>0</v>
      </c>
      <c r="M150" s="60" t="n">
        <f aca="false">IF(M$5="A",0,Client_Register!$G$47*M149*IF(Assumptions!M$99&gt;Client_Register!$Q$47,1+Assumptions!$F$114,1))</f>
        <v>0</v>
      </c>
      <c r="N150" s="60" t="n">
        <f aca="false">IF(N$5="A",0,Client_Register!$G$47*N149*IF(Assumptions!N$99&gt;Client_Register!$Q$47,1+Assumptions!$F$114,1))</f>
        <v>0</v>
      </c>
      <c r="O150" s="60" t="n">
        <f aca="false">IF(O$5="A",0,Client_Register!$G$47*O149*IF(Assumptions!O$99&gt;Client_Register!$Q$47,1+Assumptions!$F$114,1))</f>
        <v>0</v>
      </c>
      <c r="P150" s="60" t="n">
        <f aca="false">IF(P$5="A",0,Client_Register!$G$47*P149*IF(Assumptions!P$99&gt;Client_Register!$Q$47,1+Assumptions!$F$114,1))</f>
        <v>0</v>
      </c>
      <c r="Q150" s="60" t="n">
        <f aca="false">IF(Q$5="A",0,Client_Register!$G$47*Q149*IF(Assumptions!Q$99&gt;Client_Register!$Q$47,1+Assumptions!$F$114,1))</f>
        <v>0</v>
      </c>
      <c r="R150" s="60" t="n">
        <f aca="false">IF(R$5="A",0,Client_Register!$G$47*R149*IF(Assumptions!R$99&gt;Client_Register!$Q$47,1+Assumptions!$F$114,1))</f>
        <v>0</v>
      </c>
      <c r="S150" s="60" t="n">
        <f aca="false">IF(S$5="A",0,Client_Register!$G$47*S149*IF(Assumptions!S$99&gt;Client_Register!$Q$47,1+Assumptions!$F$114,1))</f>
        <v>0</v>
      </c>
      <c r="T150" s="60" t="n">
        <f aca="false">IF(T$5="A",0,Client_Register!$G$47*T149*IF(Assumptions!T$99&gt;Client_Register!$Q$47,1+Assumptions!$F$114,1))</f>
        <v>0</v>
      </c>
      <c r="U150" s="60" t="n">
        <f aca="false">IF(U$5="A",0,Client_Register!$G$47*U149*IF(Assumptions!U$99&gt;Client_Register!$Q$47,1+Assumptions!$F$114,1))</f>
        <v>0</v>
      </c>
      <c r="V150" s="60" t="n">
        <f aca="false">IF(V$5="A",0,Client_Register!$G$47*V149*IF(Assumptions!V$99&gt;Client_Register!$Q$47,1+Assumptions!$F$114,1))</f>
        <v>7000</v>
      </c>
      <c r="W150" s="60" t="n">
        <f aca="false">IF(W$5="A",0,Client_Register!$G$47*W149*IF(Assumptions!W$99&gt;Client_Register!$Q$47,1+Assumptions!$F$114,1))</f>
        <v>7000</v>
      </c>
      <c r="X150" s="60" t="n">
        <f aca="false">IF(X$5="A",0,Client_Register!$G$47*X149*IF(Assumptions!X$99&gt;Client_Register!$Q$47,1+Assumptions!$F$114,1))</f>
        <v>7000</v>
      </c>
      <c r="Y150" s="60" t="n">
        <f aca="false">IF(Y$5="A",0,Client_Register!$G$47*Y149*IF(Assumptions!Y$99&gt;Client_Register!$Q$47,1+Assumptions!$F$114,1))</f>
        <v>7000</v>
      </c>
      <c r="Z150" s="60" t="n">
        <f aca="false">IF(Z$5="A",0,Client_Register!$G$47*Z149*IF(Assumptions!Z$99&gt;Client_Register!$Q$47,1+Assumptions!$F$114,1))</f>
        <v>7000</v>
      </c>
      <c r="AA150" s="60" t="n">
        <f aca="false">IF(AA$5="A",0,Client_Register!$G$47*AA149*IF(Assumptions!AA$99&gt;Client_Register!$Q$47,1+Assumptions!$F$114,1))</f>
        <v>7000</v>
      </c>
      <c r="AB150" s="60" t="n">
        <f aca="false">IF(AB$5="A",0,Client_Register!$G$47*AB149*IF(Assumptions!AB$99&gt;Client_Register!$Q$47,1+Assumptions!$F$114,1))</f>
        <v>7000</v>
      </c>
    </row>
    <row r="151" customFormat="false" ht="15" hidden="false" customHeight="false" outlineLevel="0" collapsed="false">
      <c r="A151" s="28" t="s">
        <v>855</v>
      </c>
      <c r="B151" s="58" t="s">
        <v>856</v>
      </c>
      <c r="C151" s="59" t="n">
        <f aca="false">SUM(E151:P151)</f>
        <v>0</v>
      </c>
      <c r="D151" s="59" t="n">
        <f aca="false">SUM(Q151:AB151)</f>
        <v>57210.9097702223</v>
      </c>
      <c r="E151" s="60" t="n">
        <f aca="false">E150/FX!E9</f>
        <v>0</v>
      </c>
      <c r="F151" s="60" t="n">
        <f aca="false">F150/FX!F9</f>
        <v>0</v>
      </c>
      <c r="G151" s="60" t="n">
        <f aca="false">G150/FX!G9</f>
        <v>0</v>
      </c>
      <c r="H151" s="60" t="n">
        <f aca="false">H150/FX!H9</f>
        <v>0</v>
      </c>
      <c r="I151" s="60" t="n">
        <f aca="false">I150/FX!I9</f>
        <v>0</v>
      </c>
      <c r="J151" s="60" t="n">
        <f aca="false">J150/FX!J9</f>
        <v>0</v>
      </c>
      <c r="K151" s="60" t="n">
        <f aca="false">K150/FX!K9</f>
        <v>0</v>
      </c>
      <c r="L151" s="60" t="n">
        <f aca="false">L150/FX!L9</f>
        <v>0</v>
      </c>
      <c r="M151" s="60" t="n">
        <f aca="false">M150/FX!M9</f>
        <v>0</v>
      </c>
      <c r="N151" s="60" t="n">
        <f aca="false">N150/FX!N9</f>
        <v>0</v>
      </c>
      <c r="O151" s="60" t="n">
        <f aca="false">O150/FX!O9</f>
        <v>0</v>
      </c>
      <c r="P151" s="60" t="n">
        <f aca="false">P150/FX!P9</f>
        <v>0</v>
      </c>
      <c r="Q151" s="60" t="n">
        <f aca="false">Q150/FX!Q9</f>
        <v>0</v>
      </c>
      <c r="R151" s="60" t="n">
        <f aca="false">R150/FX!R9</f>
        <v>0</v>
      </c>
      <c r="S151" s="60" t="n">
        <f aca="false">S150/FX!S9</f>
        <v>0</v>
      </c>
      <c r="T151" s="60" t="n">
        <f aca="false">T150/FX!T9</f>
        <v>0</v>
      </c>
      <c r="U151" s="60" t="n">
        <f aca="false">U150/FX!U9</f>
        <v>0</v>
      </c>
      <c r="V151" s="60" t="n">
        <f aca="false">V150/FX!V9</f>
        <v>8172.98711003176</v>
      </c>
      <c r="W151" s="60" t="n">
        <f aca="false">W150/FX!W9</f>
        <v>8172.98711003176</v>
      </c>
      <c r="X151" s="60" t="n">
        <f aca="false">X150/FX!X9</f>
        <v>8172.98711003176</v>
      </c>
      <c r="Y151" s="60" t="n">
        <f aca="false">Y150/FX!Y9</f>
        <v>8172.98711003176</v>
      </c>
      <c r="Z151" s="60" t="n">
        <f aca="false">Z150/FX!Z9</f>
        <v>8172.98711003176</v>
      </c>
      <c r="AA151" s="60" t="n">
        <f aca="false">AA150/FX!AA9</f>
        <v>8172.98711003176</v>
      </c>
      <c r="AB151" s="60" t="n">
        <f aca="false">AB150/FX!AB9</f>
        <v>8172.98711003176</v>
      </c>
    </row>
    <row r="152" customFormat="false" ht="15" hidden="false" customHeight="false" outlineLevel="0" collapsed="false">
      <c r="A152" s="28" t="s">
        <v>857</v>
      </c>
      <c r="B152" s="58" t="s">
        <v>858</v>
      </c>
      <c r="C152" s="66" t="n">
        <f aca="false">SUM(E152:P152)</f>
        <v>0</v>
      </c>
      <c r="D152" s="66" t="n">
        <f aca="false">SUM(Q152:AB152)</f>
        <v>514.5</v>
      </c>
      <c r="E152" s="67" t="n">
        <f aca="false">Client_Register!$H$47*E149</f>
        <v>0</v>
      </c>
      <c r="F152" s="67" t="n">
        <f aca="false">Client_Register!$H$47*F149</f>
        <v>0</v>
      </c>
      <c r="G152" s="67" t="n">
        <f aca="false">Client_Register!$H$47*G149</f>
        <v>0</v>
      </c>
      <c r="H152" s="67" t="n">
        <f aca="false">Client_Register!$H$47*H149</f>
        <v>0</v>
      </c>
      <c r="I152" s="67" t="n">
        <f aca="false">Client_Register!$H$47*I149</f>
        <v>0</v>
      </c>
      <c r="J152" s="67" t="n">
        <f aca="false">Client_Register!$H$47*J149</f>
        <v>0</v>
      </c>
      <c r="K152" s="67" t="n">
        <f aca="false">Client_Register!$H$47*K149</f>
        <v>0</v>
      </c>
      <c r="L152" s="67" t="n">
        <f aca="false">Client_Register!$H$47*L149</f>
        <v>0</v>
      </c>
      <c r="M152" s="67" t="n">
        <f aca="false">Client_Register!$H$47*M149</f>
        <v>0</v>
      </c>
      <c r="N152" s="67" t="n">
        <f aca="false">Client_Register!$H$47*N149</f>
        <v>0</v>
      </c>
      <c r="O152" s="67" t="n">
        <f aca="false">Client_Register!$H$47*O149</f>
        <v>0</v>
      </c>
      <c r="P152" s="67" t="n">
        <f aca="false">Client_Register!$H$47*P149</f>
        <v>0</v>
      </c>
      <c r="Q152" s="67" t="n">
        <f aca="false">Client_Register!$H$47*Q149</f>
        <v>0</v>
      </c>
      <c r="R152" s="67" t="n">
        <f aca="false">Client_Register!$H$47*R149</f>
        <v>0</v>
      </c>
      <c r="S152" s="67" t="n">
        <f aca="false">Client_Register!$H$47*S149</f>
        <v>0</v>
      </c>
      <c r="T152" s="67" t="n">
        <f aca="false">Client_Register!$H$47*T149</f>
        <v>0</v>
      </c>
      <c r="U152" s="67" t="n">
        <f aca="false">Client_Register!$H$47*U149</f>
        <v>0</v>
      </c>
      <c r="V152" s="67" t="n">
        <f aca="false">Client_Register!$H$47*V149</f>
        <v>73.5</v>
      </c>
      <c r="W152" s="67" t="n">
        <f aca="false">Client_Register!$H$47*W149</f>
        <v>73.5</v>
      </c>
      <c r="X152" s="67" t="n">
        <f aca="false">Client_Register!$H$47*X149</f>
        <v>73.5</v>
      </c>
      <c r="Y152" s="67" t="n">
        <f aca="false">Client_Register!$H$47*Y149</f>
        <v>73.5</v>
      </c>
      <c r="Z152" s="67" t="n">
        <f aca="false">Client_Register!$H$47*Z149</f>
        <v>73.5</v>
      </c>
      <c r="AA152" s="67" t="n">
        <f aca="false">Client_Register!$H$47*AA149</f>
        <v>73.5</v>
      </c>
      <c r="AB152" s="67" t="n">
        <f aca="false">Client_Register!$H$47*AB149</f>
        <v>73.5</v>
      </c>
    </row>
    <row r="153" customFormat="false" ht="15" hidden="false" customHeight="false" outlineLevel="0" collapsed="false">
      <c r="A153" s="28" t="s">
        <v>802</v>
      </c>
      <c r="B153" s="58" t="s">
        <v>859</v>
      </c>
      <c r="C153" s="66" t="n">
        <f aca="false">SUM(E153:P153)</f>
        <v>0</v>
      </c>
      <c r="D153" s="66" t="n">
        <f aca="false">SUM(Q153:AB153)</f>
        <v>565.95</v>
      </c>
      <c r="E153" s="67" t="n">
        <f aca="false">IF(E$5="A",0,E152*(1+Client_Register!$S$47))</f>
        <v>0</v>
      </c>
      <c r="F153" s="67" t="n">
        <f aca="false">IF(F$5="A",0,F152*(1+Client_Register!$S$47))</f>
        <v>0</v>
      </c>
      <c r="G153" s="67" t="n">
        <f aca="false">IF(G$5="A",0,G152*(1+Client_Register!$S$47))</f>
        <v>0</v>
      </c>
      <c r="H153" s="67" t="n">
        <f aca="false">IF(H$5="A",0,H152*(1+Client_Register!$S$47))</f>
        <v>0</v>
      </c>
      <c r="I153" s="67" t="n">
        <f aca="false">IF(I$5="A",0,I152*(1+Client_Register!$S$47))</f>
        <v>0</v>
      </c>
      <c r="J153" s="67" t="n">
        <f aca="false">IF(J$5="A",0,J152*(1+Client_Register!$S$47))</f>
        <v>0</v>
      </c>
      <c r="K153" s="67" t="n">
        <f aca="false">IF(K$5="A",0,K152*(1+Client_Register!$S$47))</f>
        <v>0</v>
      </c>
      <c r="L153" s="67" t="n">
        <f aca="false">IF(L$5="A",0,L152*(1+Client_Register!$S$47))</f>
        <v>0</v>
      </c>
      <c r="M153" s="67" t="n">
        <f aca="false">IF(M$5="A",0,M152*(1+Client_Register!$S$47))</f>
        <v>0</v>
      </c>
      <c r="N153" s="67" t="n">
        <f aca="false">IF(N$5="A",0,N152*(1+Client_Register!$S$47))</f>
        <v>0</v>
      </c>
      <c r="O153" s="67" t="n">
        <f aca="false">IF(O$5="A",0,O152*(1+Client_Register!$S$47))</f>
        <v>0</v>
      </c>
      <c r="P153" s="67" t="n">
        <f aca="false">IF(P$5="A",0,P152*(1+Client_Register!$S$47))</f>
        <v>0</v>
      </c>
      <c r="Q153" s="67" t="n">
        <f aca="false">IF(Q$5="A",0,Q152*(1+Client_Register!$S$47))</f>
        <v>0</v>
      </c>
      <c r="R153" s="67" t="n">
        <f aca="false">IF(R$5="A",0,R152*(1+Client_Register!$S$47))</f>
        <v>0</v>
      </c>
      <c r="S153" s="67" t="n">
        <f aca="false">IF(S$5="A",0,S152*(1+Client_Register!$S$47))</f>
        <v>0</v>
      </c>
      <c r="T153" s="67" t="n">
        <f aca="false">IF(T$5="A",0,T152*(1+Client_Register!$S$47))</f>
        <v>0</v>
      </c>
      <c r="U153" s="67" t="n">
        <f aca="false">IF(U$5="A",0,U152*(1+Client_Register!$S$47))</f>
        <v>0</v>
      </c>
      <c r="V153" s="67" t="n">
        <f aca="false">IF(V$5="A",0,V152*(1+Client_Register!$S$47))</f>
        <v>80.85</v>
      </c>
      <c r="W153" s="67" t="n">
        <f aca="false">IF(W$5="A",0,W152*(1+Client_Register!$S$47))</f>
        <v>80.85</v>
      </c>
      <c r="X153" s="67" t="n">
        <f aca="false">IF(X$5="A",0,X152*(1+Client_Register!$S$47))</f>
        <v>80.85</v>
      </c>
      <c r="Y153" s="67" t="n">
        <f aca="false">IF(Y$5="A",0,Y152*(1+Client_Register!$S$47))</f>
        <v>80.85</v>
      </c>
      <c r="Z153" s="67" t="n">
        <f aca="false">IF(Z$5="A",0,Z152*(1+Client_Register!$S$47))</f>
        <v>80.85</v>
      </c>
      <c r="AA153" s="67" t="n">
        <f aca="false">IF(AA$5="A",0,AA152*(1+Client_Register!$S$47))</f>
        <v>80.85</v>
      </c>
      <c r="AB153" s="67" t="n">
        <f aca="false">IF(AB$5="A",0,AB152*(1+Client_Register!$S$47))</f>
        <v>80.85</v>
      </c>
    </row>
    <row r="154" customFormat="false" ht="15" hidden="false" customHeight="false" outlineLevel="0" collapsed="false">
      <c r="A154" s="28" t="s">
        <v>860</v>
      </c>
      <c r="B154" s="58" t="s">
        <v>861</v>
      </c>
      <c r="C154" s="66" t="n">
        <f aca="false">SUM(E154:P154)</f>
        <v>0</v>
      </c>
      <c r="D154" s="66" t="n">
        <f aca="false">SUM(Q154:AB154)</f>
        <v>51.4500000000001</v>
      </c>
      <c r="E154" s="72" t="n">
        <f aca="false">E153-E152</f>
        <v>0</v>
      </c>
      <c r="F154" s="72" t="n">
        <f aca="false">F153-F152</f>
        <v>0</v>
      </c>
      <c r="G154" s="72" t="n">
        <f aca="false">G153-G152</f>
        <v>0</v>
      </c>
      <c r="H154" s="72" t="n">
        <f aca="false">H153-H152</f>
        <v>0</v>
      </c>
      <c r="I154" s="72" t="n">
        <f aca="false">I153-I152</f>
        <v>0</v>
      </c>
      <c r="J154" s="72" t="n">
        <f aca="false">J153-J152</f>
        <v>0</v>
      </c>
      <c r="K154" s="72" t="n">
        <f aca="false">K153-K152</f>
        <v>0</v>
      </c>
      <c r="L154" s="72" t="n">
        <f aca="false">L153-L152</f>
        <v>0</v>
      </c>
      <c r="M154" s="72" t="n">
        <f aca="false">M153-M152</f>
        <v>0</v>
      </c>
      <c r="N154" s="72" t="n">
        <f aca="false">N153-N152</f>
        <v>0</v>
      </c>
      <c r="O154" s="72" t="n">
        <f aca="false">O153-O152</f>
        <v>0</v>
      </c>
      <c r="P154" s="72" t="n">
        <f aca="false">P153-P152</f>
        <v>0</v>
      </c>
      <c r="Q154" s="72" t="n">
        <f aca="false">Q153-Q152</f>
        <v>0</v>
      </c>
      <c r="R154" s="72" t="n">
        <f aca="false">R153-R152</f>
        <v>0</v>
      </c>
      <c r="S154" s="72" t="n">
        <f aca="false">S153-S152</f>
        <v>0</v>
      </c>
      <c r="T154" s="72" t="n">
        <f aca="false">T153-T152</f>
        <v>0</v>
      </c>
      <c r="U154" s="72" t="n">
        <f aca="false">U153-U152</f>
        <v>0</v>
      </c>
      <c r="V154" s="72" t="n">
        <f aca="false">V153-V152</f>
        <v>7.35000000000001</v>
      </c>
      <c r="W154" s="72" t="n">
        <f aca="false">W153-W152</f>
        <v>7.35000000000001</v>
      </c>
      <c r="X154" s="72" t="n">
        <f aca="false">X153-X152</f>
        <v>7.35000000000001</v>
      </c>
      <c r="Y154" s="72" t="n">
        <f aca="false">Y153-Y152</f>
        <v>7.35000000000001</v>
      </c>
      <c r="Z154" s="72" t="n">
        <f aca="false">Z153-Z152</f>
        <v>7.35000000000001</v>
      </c>
      <c r="AA154" s="72" t="n">
        <f aca="false">AA153-AA152</f>
        <v>7.35000000000001</v>
      </c>
      <c r="AB154" s="72" t="n">
        <f aca="false">AB153-AB152</f>
        <v>7.35000000000001</v>
      </c>
    </row>
    <row r="155" customFormat="false" ht="15" hidden="false" customHeight="false" outlineLevel="0" collapsed="false">
      <c r="A155" s="28" t="s">
        <v>862</v>
      </c>
      <c r="B155" s="58" t="s">
        <v>863</v>
      </c>
      <c r="C155" s="59" t="n">
        <f aca="false">SUM(E155:P155)</f>
        <v>0</v>
      </c>
      <c r="D155" s="59" t="n">
        <f aca="false">SUM(Q155:AB155)</f>
        <v>2501.3529601519</v>
      </c>
      <c r="E155" s="60" t="n">
        <f aca="false">E154*Utilisation!E88</f>
        <v>0</v>
      </c>
      <c r="F155" s="60" t="n">
        <f aca="false">F154*Utilisation!F88</f>
        <v>0</v>
      </c>
      <c r="G155" s="60" t="n">
        <f aca="false">G154*Utilisation!G88</f>
        <v>0</v>
      </c>
      <c r="H155" s="60" t="n">
        <f aca="false">H154*Utilisation!H88</f>
        <v>0</v>
      </c>
      <c r="I155" s="60" t="n">
        <f aca="false">I154*Utilisation!I88</f>
        <v>0</v>
      </c>
      <c r="J155" s="60" t="n">
        <f aca="false">J154*Utilisation!J88</f>
        <v>0</v>
      </c>
      <c r="K155" s="60" t="n">
        <f aca="false">K154*Utilisation!K88</f>
        <v>0</v>
      </c>
      <c r="L155" s="60" t="n">
        <f aca="false">L154*Utilisation!L88</f>
        <v>0</v>
      </c>
      <c r="M155" s="60" t="n">
        <f aca="false">M154*Utilisation!M88</f>
        <v>0</v>
      </c>
      <c r="N155" s="60" t="n">
        <f aca="false">N154*Utilisation!N88</f>
        <v>0</v>
      </c>
      <c r="O155" s="60" t="n">
        <f aca="false">O154*Utilisation!O88</f>
        <v>0</v>
      </c>
      <c r="P155" s="60" t="n">
        <f aca="false">P154*Utilisation!P88</f>
        <v>0</v>
      </c>
      <c r="Q155" s="60" t="n">
        <f aca="false">Q154*Utilisation!Q88</f>
        <v>0</v>
      </c>
      <c r="R155" s="60" t="n">
        <f aca="false">R154*Utilisation!R88</f>
        <v>0</v>
      </c>
      <c r="S155" s="60" t="n">
        <f aca="false">S154*Utilisation!S88</f>
        <v>0</v>
      </c>
      <c r="T155" s="60" t="n">
        <f aca="false">T154*Utilisation!T88</f>
        <v>0</v>
      </c>
      <c r="U155" s="60" t="n">
        <f aca="false">U154*Utilisation!U88</f>
        <v>0</v>
      </c>
      <c r="V155" s="60" t="n">
        <f aca="false">V154*Utilisation!V88</f>
        <v>357.336137164557</v>
      </c>
      <c r="W155" s="60" t="n">
        <f aca="false">W154*Utilisation!W88</f>
        <v>357.336137164557</v>
      </c>
      <c r="X155" s="60" t="n">
        <f aca="false">X154*Utilisation!X88</f>
        <v>357.336137164557</v>
      </c>
      <c r="Y155" s="60" t="n">
        <f aca="false">Y154*Utilisation!Y88</f>
        <v>357.336137164557</v>
      </c>
      <c r="Z155" s="60" t="n">
        <f aca="false">Z154*Utilisation!Z88</f>
        <v>357.336137164557</v>
      </c>
      <c r="AA155" s="60" t="n">
        <f aca="false">AA154*Utilisation!AA88</f>
        <v>357.336137164557</v>
      </c>
      <c r="AB155" s="60" t="n">
        <f aca="false">AB154*Utilisation!AB88</f>
        <v>357.336137164557</v>
      </c>
    </row>
    <row r="156" customFormat="false" ht="15" hidden="false" customHeight="false" outlineLevel="0" collapsed="false">
      <c r="A156" s="28" t="s">
        <v>864</v>
      </c>
      <c r="B156" s="58" t="s">
        <v>865</v>
      </c>
      <c r="C156" s="59" t="n">
        <f aca="false">SUM(E156:P156)</f>
        <v>0</v>
      </c>
      <c r="D156" s="59" t="n">
        <f aca="false">SUM(Q156:AB156)</f>
        <v>49000</v>
      </c>
      <c r="E156" s="71" t="n">
        <f aca="false">IF(E$5="A",0,E150)</f>
        <v>0</v>
      </c>
      <c r="F156" s="71" t="n">
        <f aca="false">IF(F$5="A",0,F150)</f>
        <v>0</v>
      </c>
      <c r="G156" s="71" t="n">
        <f aca="false">IF(G$5="A",0,G150)</f>
        <v>0</v>
      </c>
      <c r="H156" s="71" t="n">
        <f aca="false">IF(H$5="A",0,H150)</f>
        <v>0</v>
      </c>
      <c r="I156" s="71" t="n">
        <f aca="false">IF(I$5="A",0,I150)</f>
        <v>0</v>
      </c>
      <c r="J156" s="71" t="n">
        <f aca="false">IF(J$5="A",0,J150)</f>
        <v>0</v>
      </c>
      <c r="K156" s="71" t="n">
        <f aca="false">IF(K$5="A",0,K150)</f>
        <v>0</v>
      </c>
      <c r="L156" s="71" t="n">
        <f aca="false">IF(L$5="A",0,L150)</f>
        <v>0</v>
      </c>
      <c r="M156" s="71" t="n">
        <f aca="false">IF(M$5="A",0,M150)</f>
        <v>0</v>
      </c>
      <c r="N156" s="71" t="n">
        <f aca="false">IF(N$5="A",0,N150)</f>
        <v>0</v>
      </c>
      <c r="O156" s="71" t="n">
        <f aca="false">IF(O$5="A",0,O150)</f>
        <v>0</v>
      </c>
      <c r="P156" s="71" t="n">
        <f aca="false">IF(P$5="A",0,P150)</f>
        <v>0</v>
      </c>
      <c r="Q156" s="71" t="n">
        <f aca="false">IF(Q$5="A",0,Q150)</f>
        <v>0</v>
      </c>
      <c r="R156" s="71" t="n">
        <f aca="false">IF(R$5="A",0,R150)</f>
        <v>0</v>
      </c>
      <c r="S156" s="71" t="n">
        <f aca="false">IF(S$5="A",0,S150)</f>
        <v>0</v>
      </c>
      <c r="T156" s="71" t="n">
        <f aca="false">IF(T$5="A",0,T150)</f>
        <v>0</v>
      </c>
      <c r="U156" s="71" t="n">
        <f aca="false">IF(U$5="A",0,U150)</f>
        <v>0</v>
      </c>
      <c r="V156" s="71" t="n">
        <f aca="false">IF(V$5="A",0,V150)</f>
        <v>7000</v>
      </c>
      <c r="W156" s="71" t="n">
        <f aca="false">IF(W$5="A",0,W150)</f>
        <v>7000</v>
      </c>
      <c r="X156" s="71" t="n">
        <f aca="false">IF(X$5="A",0,X150)</f>
        <v>7000</v>
      </c>
      <c r="Y156" s="71" t="n">
        <f aca="false">IF(Y$5="A",0,Y150)</f>
        <v>7000</v>
      </c>
      <c r="Z156" s="71" t="n">
        <f aca="false">IF(Z$5="A",0,Z150)</f>
        <v>7000</v>
      </c>
      <c r="AA156" s="71" t="n">
        <f aca="false">IF(AA$5="A",0,AA150)</f>
        <v>7000</v>
      </c>
      <c r="AB156" s="71" t="n">
        <f aca="false">IF(AB$5="A",0,AB150)</f>
        <v>7000</v>
      </c>
    </row>
    <row r="158" customFormat="false" ht="15" hidden="false" customHeight="false" outlineLevel="0" collapsed="false">
      <c r="A158" s="22" t="s">
        <v>883</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row>
    <row r="159" customFormat="false" ht="15" hidden="false" customHeight="false" outlineLevel="0" collapsed="false">
      <c r="A159" s="28" t="s">
        <v>884</v>
      </c>
      <c r="B159" s="58" t="s">
        <v>885</v>
      </c>
      <c r="C159" s="59" t="n">
        <f aca="false">SUM(E159:P159)</f>
        <v>645995.829353618</v>
      </c>
      <c r="D159" s="59" t="n">
        <f aca="false">SUM(Q159:AB159)</f>
        <v>643355.472445358</v>
      </c>
      <c r="E159" s="71" t="n">
        <f aca="false">E21+E41+E71+E101+E141+E151</f>
        <v>49253.2781228433</v>
      </c>
      <c r="F159" s="71" t="n">
        <f aca="false">F21+F41+F71+F101+F141+F151</f>
        <v>49216.6427546628</v>
      </c>
      <c r="G159" s="71" t="n">
        <f aca="false">G21+G41+G71+G101+G141+G151</f>
        <v>49195.7217044399</v>
      </c>
      <c r="H159" s="71" t="n">
        <f aca="false">H21+H41+H71+H101+H141+H151</f>
        <v>49295.2530295518</v>
      </c>
      <c r="I159" s="71" t="n">
        <f aca="false">I21+I41+I71+I101+I141+I151</f>
        <v>49306.2279345594</v>
      </c>
      <c r="J159" s="71" t="n">
        <f aca="false">J21+J41+J71+J101+J141+J151</f>
        <v>62653.5569693464</v>
      </c>
      <c r="K159" s="71" t="n">
        <f aca="false">K21+K41+K71+K101+K141+K151</f>
        <v>62858.8064046579</v>
      </c>
      <c r="L159" s="71" t="n">
        <f aca="false">L21+L41+L71+L101+L141+L151</f>
        <v>62953.9661959328</v>
      </c>
      <c r="M159" s="71" t="n">
        <f aca="false">M21+M41+M71+M101+M141+M151</f>
        <v>62940.5940594059</v>
      </c>
      <c r="N159" s="71" t="n">
        <f aca="false">N21+N41+N71+N101+N141+N151</f>
        <v>49440.5940594059</v>
      </c>
      <c r="O159" s="71" t="n">
        <f aca="false">O21+O41+O71+O101+O141+O151</f>
        <v>49440.5940594059</v>
      </c>
      <c r="P159" s="71" t="n">
        <f aca="false">P21+P41+P71+P101+P141+P151</f>
        <v>49440.5940594059</v>
      </c>
      <c r="Q159" s="71" t="n">
        <f aca="false">Q21+Q41+Q71+Q101+Q141+Q151</f>
        <v>47294.5940594059</v>
      </c>
      <c r="R159" s="71" t="n">
        <f aca="false">R21+R41+R71+R101+R141+R151</f>
        <v>47294.5940594059</v>
      </c>
      <c r="S159" s="71" t="n">
        <f aca="false">S21+S41+S71+S101+S141+S151</f>
        <v>47294.5940594059</v>
      </c>
      <c r="T159" s="71" t="n">
        <f aca="false">T21+T41+T71+T101+T141+T151</f>
        <v>50573.7272557444</v>
      </c>
      <c r="U159" s="71" t="n">
        <f aca="false">U21+U41+U71+U101+U141+U151</f>
        <v>50573.7272557444</v>
      </c>
      <c r="V159" s="71" t="n">
        <f aca="false">V21+V41+V71+V101+V141+V151</f>
        <v>57189.1765365216</v>
      </c>
      <c r="W159" s="71" t="n">
        <f aca="false">W21+W41+W71+W101+W141+W151</f>
        <v>57189.1765365216</v>
      </c>
      <c r="X159" s="71" t="n">
        <f aca="false">X21+X41+X71+X101+X141+X151</f>
        <v>57189.1765365216</v>
      </c>
      <c r="Y159" s="71" t="n">
        <f aca="false">Y21+Y41+Y71+Y101+Y141+Y151</f>
        <v>57189.1765365216</v>
      </c>
      <c r="Z159" s="71" t="n">
        <f aca="false">Z21+Z41+Z71+Z101+Z141+Z151</f>
        <v>57189.1765365216</v>
      </c>
      <c r="AA159" s="71" t="n">
        <f aca="false">AA21+AA41+AA71+AA101+AA141+AA151</f>
        <v>57189.1765365216</v>
      </c>
      <c r="AB159" s="71" t="n">
        <f aca="false">AB21+AB41+AB71+AB101+AB141+AB151</f>
        <v>57189.1765365216</v>
      </c>
    </row>
    <row r="160" customFormat="false" ht="15" hidden="false" customHeight="false" outlineLevel="0" collapsed="false">
      <c r="A160" s="28" t="s">
        <v>886</v>
      </c>
      <c r="B160" s="58" t="s">
        <v>885</v>
      </c>
      <c r="C160" s="66" t="n">
        <f aca="false">SUM(E160:P160)</f>
        <v>6680</v>
      </c>
      <c r="D160" s="66" t="n">
        <f aca="false">SUM(Q160:AB160)</f>
        <v>6379.5</v>
      </c>
      <c r="E160" s="72" t="n">
        <f aca="false">E22+E42+E72+E102+E142+E152</f>
        <v>510</v>
      </c>
      <c r="F160" s="72" t="n">
        <f aca="false">F22+F42+F72+F102+F142+F152</f>
        <v>510</v>
      </c>
      <c r="G160" s="72" t="n">
        <f aca="false">G22+G42+G72+G102+G142+G152</f>
        <v>510</v>
      </c>
      <c r="H160" s="72" t="n">
        <f aca="false">H22+H42+H72+H102+H142+H152</f>
        <v>510</v>
      </c>
      <c r="I160" s="72" t="n">
        <f aca="false">I22+I42+I72+I102+I142+I152</f>
        <v>510</v>
      </c>
      <c r="J160" s="72" t="n">
        <f aca="false">J22+J42+J72+J102+J142+J152</f>
        <v>650</v>
      </c>
      <c r="K160" s="72" t="n">
        <f aca="false">K22+K42+K72+K102+K142+K152</f>
        <v>650</v>
      </c>
      <c r="L160" s="72" t="n">
        <f aca="false">L22+L42+L72+L102+L142+L152</f>
        <v>650</v>
      </c>
      <c r="M160" s="72" t="n">
        <f aca="false">M22+M42+M72+M102+M142+M152</f>
        <v>650</v>
      </c>
      <c r="N160" s="72" t="n">
        <f aca="false">N22+N42+N72+N102+N142+N152</f>
        <v>510</v>
      </c>
      <c r="O160" s="72" t="n">
        <f aca="false">O22+O42+O72+O102+O142+O152</f>
        <v>510</v>
      </c>
      <c r="P160" s="72" t="n">
        <f aca="false">P22+P42+P72+P102+P142+P152</f>
        <v>510</v>
      </c>
      <c r="Q160" s="72" t="n">
        <f aca="false">Q22+Q42+Q72+Q102+Q142+Q152</f>
        <v>481.5</v>
      </c>
      <c r="R160" s="72" t="n">
        <f aca="false">R22+R42+R72+R102+R142+R152</f>
        <v>481.5</v>
      </c>
      <c r="S160" s="72" t="n">
        <f aca="false">S22+S42+S72+S102+S142+S152</f>
        <v>481.5</v>
      </c>
      <c r="T160" s="72" t="n">
        <f aca="false">T22+T42+T72+T102+T142+T152</f>
        <v>507.5</v>
      </c>
      <c r="U160" s="72" t="n">
        <f aca="false">U22+U42+U72+U102+U142+U152</f>
        <v>507.5</v>
      </c>
      <c r="V160" s="72" t="n">
        <f aca="false">V22+V42+V72+V102+V142+V152</f>
        <v>560</v>
      </c>
      <c r="W160" s="72" t="n">
        <f aca="false">W22+W42+W72+W102+W142+W152</f>
        <v>560</v>
      </c>
      <c r="X160" s="72" t="n">
        <f aca="false">X22+X42+X72+X102+X142+X152</f>
        <v>560</v>
      </c>
      <c r="Y160" s="72" t="n">
        <f aca="false">Y22+Y42+Y72+Y102+Y142+Y152</f>
        <v>560</v>
      </c>
      <c r="Z160" s="72" t="n">
        <f aca="false">Z22+Z42+Z72+Z102+Z142+Z152</f>
        <v>560</v>
      </c>
      <c r="AA160" s="72" t="n">
        <f aca="false">AA22+AA42+AA72+AA102+AA142+AA152</f>
        <v>560</v>
      </c>
      <c r="AB160" s="72" t="n">
        <f aca="false">AB22+AB42+AB72+AB102+AB142+AB152</f>
        <v>560</v>
      </c>
    </row>
    <row r="161" customFormat="false" ht="15" hidden="false" customHeight="false" outlineLevel="0" collapsed="false">
      <c r="A161" s="28" t="s">
        <v>887</v>
      </c>
      <c r="B161" s="58" t="s">
        <v>885</v>
      </c>
      <c r="C161" s="66" t="n">
        <f aca="false">SUM(E161:P161)</f>
        <v>7711.18208333333</v>
      </c>
      <c r="D161" s="66" t="n">
        <f aca="false">SUM(Q161:AB161)</f>
        <v>7037.172875</v>
      </c>
      <c r="E161" s="72" t="n">
        <f aca="false">E23+E43+E73+E103+E143+E153</f>
        <v>616.6</v>
      </c>
      <c r="F161" s="72" t="n">
        <f aca="false">F23+F43+F73+F103+F143+F153</f>
        <v>606.5</v>
      </c>
      <c r="G161" s="72" t="n">
        <f aca="false">G23+G43+G73+G103+G143+G153</f>
        <v>610.6</v>
      </c>
      <c r="H161" s="72" t="n">
        <f aca="false">H23+H43+H73+H103+H143+H153</f>
        <v>600.5</v>
      </c>
      <c r="I161" s="72" t="n">
        <f aca="false">I23+I43+I73+I103+I143+I153</f>
        <v>596.7</v>
      </c>
      <c r="J161" s="72" t="n">
        <f aca="false">J23+J43+J73+J103+J143+J153</f>
        <v>751.2</v>
      </c>
      <c r="K161" s="72" t="n">
        <f aca="false">K23+K43+K73+K103+K143+K153</f>
        <v>751.3</v>
      </c>
      <c r="L161" s="72" t="n">
        <f aca="false">L23+L43+L73+L103+L143+L153</f>
        <v>762.2</v>
      </c>
      <c r="M161" s="72" t="n">
        <f aca="false">M23+M43+M73+M103+M143+M153</f>
        <v>723.654583333333</v>
      </c>
      <c r="N161" s="72" t="n">
        <f aca="false">N23+N43+N73+N103+N143+N153</f>
        <v>563.975833333333</v>
      </c>
      <c r="O161" s="72" t="n">
        <f aca="false">O23+O43+O73+O103+O143+O153</f>
        <v>563.975833333333</v>
      </c>
      <c r="P161" s="72" t="n">
        <f aca="false">P23+P43+P73+P103+P143+P153</f>
        <v>563.975833333333</v>
      </c>
      <c r="Q161" s="72" t="n">
        <f aca="false">Q23+Q43+Q73+Q103+Q143+Q153</f>
        <v>530.219270833333</v>
      </c>
      <c r="R161" s="72" t="n">
        <f aca="false">R23+R43+R73+R103+R143+R153</f>
        <v>530.219270833333</v>
      </c>
      <c r="S161" s="72" t="n">
        <f aca="false">S23+S43+S73+S103+S143+S153</f>
        <v>530.219270833333</v>
      </c>
      <c r="T161" s="72" t="n">
        <f aca="false">T23+T43+T73+T103+T143+T153</f>
        <v>559.372395833333</v>
      </c>
      <c r="U161" s="72" t="n">
        <f aca="false">U23+U43+U73+U103+U143+U153</f>
        <v>559.372395833333</v>
      </c>
      <c r="V161" s="72" t="n">
        <f aca="false">V23+V43+V73+V103+V143+V153</f>
        <v>618.252895833333</v>
      </c>
      <c r="W161" s="72" t="n">
        <f aca="false">W23+W43+W73+W103+W143+W153</f>
        <v>618.252895833333</v>
      </c>
      <c r="X161" s="72" t="n">
        <f aca="false">X23+X43+X73+X103+X143+X153</f>
        <v>618.252895833333</v>
      </c>
      <c r="Y161" s="72" t="n">
        <f aca="false">Y23+Y43+Y73+Y103+Y143+Y153</f>
        <v>618.252895833333</v>
      </c>
      <c r="Z161" s="72" t="n">
        <f aca="false">Z23+Z43+Z73+Z103+Z143+Z153</f>
        <v>618.252895833333</v>
      </c>
      <c r="AA161" s="72" t="n">
        <f aca="false">AA23+AA43+AA73+AA103+AA143+AA153</f>
        <v>618.252895833333</v>
      </c>
      <c r="AB161" s="72" t="n">
        <f aca="false">AB23+AB43+AB73+AB103+AB143+AB153</f>
        <v>618.252895833333</v>
      </c>
    </row>
    <row r="162" customFormat="false" ht="15" hidden="false" customHeight="false" outlineLevel="0" collapsed="false">
      <c r="A162" s="28" t="s">
        <v>888</v>
      </c>
      <c r="B162" s="58" t="s">
        <v>885</v>
      </c>
      <c r="C162" s="59" t="n">
        <f aca="false">SUM(E162:P162)</f>
        <v>581556.239979711</v>
      </c>
      <c r="D162" s="59" t="n">
        <f aca="false">SUM(Q162:AB162)</f>
        <v>599614.225730614</v>
      </c>
      <c r="E162" s="71" t="n">
        <f aca="false">E61+E81+E91+E111+E131</f>
        <v>48294.8582534116</v>
      </c>
      <c r="F162" s="71" t="n">
        <f aca="false">F61+F81+F91+F111+F131</f>
        <v>48273.3097285449</v>
      </c>
      <c r="G162" s="71" t="n">
        <f aca="false">G61+G81+G91+G111+G131</f>
        <v>48440.8445264558</v>
      </c>
      <c r="H162" s="71" t="n">
        <f aca="false">H61+H81+H91+H111+H131</f>
        <v>48482.7586206897</v>
      </c>
      <c r="I162" s="71" t="n">
        <f aca="false">I61+I81+I91+I111+I131</f>
        <v>48423.4558382592</v>
      </c>
      <c r="J162" s="71" t="n">
        <f aca="false">J61+J81+J91+J111+J131</f>
        <v>48549.4400555604</v>
      </c>
      <c r="K162" s="71" t="n">
        <f aca="false">K61+K81+K91+K111+K131</f>
        <v>48615.8048865772</v>
      </c>
      <c r="L162" s="71" t="n">
        <f aca="false">L61+L81+L91+L111+L131</f>
        <v>48531.6494086045</v>
      </c>
      <c r="M162" s="71" t="n">
        <f aca="false">M61+M81+M91+M111+M131</f>
        <v>48486.0296654019</v>
      </c>
      <c r="N162" s="71" t="n">
        <f aca="false">N61+N81+N91+N111+N131</f>
        <v>48486.0296654019</v>
      </c>
      <c r="O162" s="71" t="n">
        <f aca="false">O61+O81+O91+O111+O131</f>
        <v>48486.0296654019</v>
      </c>
      <c r="P162" s="71" t="n">
        <f aca="false">P61+P81+P91+P111+P131</f>
        <v>48486.0296654019</v>
      </c>
      <c r="Q162" s="71" t="n">
        <f aca="false">Q61+Q81+Q91+Q111+Q131</f>
        <v>48378.0296654019</v>
      </c>
      <c r="R162" s="71" t="n">
        <f aca="false">R61+R81+R91+R111+R131</f>
        <v>48378.0296654019</v>
      </c>
      <c r="S162" s="71" t="n">
        <f aca="false">S61+S81+S91+S111+S131</f>
        <v>50957.2801791325</v>
      </c>
      <c r="T162" s="71" t="n">
        <f aca="false">T61+T81+T91+T111+T131</f>
        <v>50957.2801791325</v>
      </c>
      <c r="U162" s="71" t="n">
        <f aca="false">U61+U81+U91+U111+U131</f>
        <v>50957.2801791325</v>
      </c>
      <c r="V162" s="71" t="n">
        <f aca="false">V61+V81+V91+V111+V131</f>
        <v>50957.2801791325</v>
      </c>
      <c r="W162" s="71" t="n">
        <f aca="false">W61+W81+W91+W111+W131</f>
        <v>50350.1742805468</v>
      </c>
      <c r="X162" s="71" t="n">
        <f aca="false">X61+X81+X91+X111+X131</f>
        <v>50350.1742805468</v>
      </c>
      <c r="Y162" s="71" t="n">
        <f aca="false">Y61+Y81+Y91+Y111+Y131</f>
        <v>50350.1742805468</v>
      </c>
      <c r="Z162" s="71" t="n">
        <f aca="false">Z61+Z81+Z91+Z111+Z131</f>
        <v>49326.1742805468</v>
      </c>
      <c r="AA162" s="71" t="n">
        <f aca="false">AA61+AA81+AA91+AA111+AA131</f>
        <v>49326.1742805468</v>
      </c>
      <c r="AB162" s="71" t="n">
        <f aca="false">AB61+AB81+AB91+AB111+AB131</f>
        <v>49326.1742805468</v>
      </c>
    </row>
    <row r="163" customFormat="false" ht="15" hidden="false" customHeight="false" outlineLevel="0" collapsed="false">
      <c r="A163" s="28" t="s">
        <v>889</v>
      </c>
      <c r="B163" s="58" t="s">
        <v>885</v>
      </c>
      <c r="C163" s="66" t="n">
        <f aca="false">SUM(E163:P163)</f>
        <v>6000</v>
      </c>
      <c r="D163" s="66" t="n">
        <f aca="false">SUM(Q163:AB163)</f>
        <v>5994</v>
      </c>
      <c r="E163" s="72" t="n">
        <f aca="false">E62+E82+E92+E112+E132</f>
        <v>500</v>
      </c>
      <c r="F163" s="72" t="n">
        <f aca="false">F62+F82+F92+F112+F132</f>
        <v>500</v>
      </c>
      <c r="G163" s="72" t="n">
        <f aca="false">G62+G82+G92+G112+G132</f>
        <v>500</v>
      </c>
      <c r="H163" s="72" t="n">
        <f aca="false">H62+H82+H92+H112+H132</f>
        <v>500</v>
      </c>
      <c r="I163" s="72" t="n">
        <f aca="false">I62+I82+I92+I112+I132</f>
        <v>500</v>
      </c>
      <c r="J163" s="72" t="n">
        <f aca="false">J62+J82+J92+J112+J132</f>
        <v>500</v>
      </c>
      <c r="K163" s="72" t="n">
        <f aca="false">K62+K82+K92+K112+K132</f>
        <v>500</v>
      </c>
      <c r="L163" s="72" t="n">
        <f aca="false">L62+L82+L92+L112+L132</f>
        <v>500</v>
      </c>
      <c r="M163" s="72" t="n">
        <f aca="false">M62+M82+M92+M112+M132</f>
        <v>500</v>
      </c>
      <c r="N163" s="72" t="n">
        <f aca="false">N62+N82+N92+N112+N132</f>
        <v>500</v>
      </c>
      <c r="O163" s="72" t="n">
        <f aca="false">O62+O82+O92+O112+O132</f>
        <v>500</v>
      </c>
      <c r="P163" s="72" t="n">
        <f aca="false">P62+P82+P92+P112+P132</f>
        <v>500</v>
      </c>
      <c r="Q163" s="72" t="n">
        <f aca="false">Q62+Q82+Q92+Q112+Q132</f>
        <v>495.25</v>
      </c>
      <c r="R163" s="72" t="n">
        <f aca="false">R62+R82+R92+R112+R132</f>
        <v>495.25</v>
      </c>
      <c r="S163" s="72" t="n">
        <f aca="false">S62+S82+S92+S112+S132</f>
        <v>511</v>
      </c>
      <c r="T163" s="72" t="n">
        <f aca="false">T62+T82+T92+T112+T132</f>
        <v>511</v>
      </c>
      <c r="U163" s="72" t="n">
        <f aca="false">U62+U82+U92+U112+U132</f>
        <v>511</v>
      </c>
      <c r="V163" s="72" t="n">
        <f aca="false">V62+V82+V92+V112+V132</f>
        <v>511</v>
      </c>
      <c r="W163" s="72" t="n">
        <f aca="false">W62+W82+W92+W112+W132</f>
        <v>501.5</v>
      </c>
      <c r="X163" s="72" t="n">
        <f aca="false">X62+X82+X92+X112+X132</f>
        <v>501.5</v>
      </c>
      <c r="Y163" s="72" t="n">
        <f aca="false">Y62+Y82+Y92+Y112+Y132</f>
        <v>501.5</v>
      </c>
      <c r="Z163" s="72" t="n">
        <f aca="false">Z62+Z82+Z92+Z112+Z132</f>
        <v>485</v>
      </c>
      <c r="AA163" s="72" t="n">
        <f aca="false">AA62+AA82+AA92+AA112+AA132</f>
        <v>485</v>
      </c>
      <c r="AB163" s="72" t="n">
        <f aca="false">AB62+AB82+AB92+AB112+AB132</f>
        <v>485</v>
      </c>
    </row>
    <row r="164" customFormat="false" ht="15" hidden="false" customHeight="false" outlineLevel="0" collapsed="false">
      <c r="A164" s="28" t="s">
        <v>890</v>
      </c>
      <c r="B164" s="58" t="s">
        <v>885</v>
      </c>
      <c r="C164" s="66" t="n">
        <f aca="false">SUM(E164:P164)</f>
        <v>6345.87</v>
      </c>
      <c r="D164" s="66" t="n">
        <f aca="false">SUM(Q164:AB164)</f>
        <v>6281.759625</v>
      </c>
      <c r="E164" s="72" t="n">
        <f aca="false">E63+E83+E93+E113+E133</f>
        <v>538.7</v>
      </c>
      <c r="F164" s="72" t="n">
        <f aca="false">F63+F83+F93+F113+F133</f>
        <v>521.4</v>
      </c>
      <c r="G164" s="72" t="n">
        <f aca="false">G63+G83+G93+G113+G133</f>
        <v>532.9</v>
      </c>
      <c r="H164" s="72" t="n">
        <f aca="false">H63+H83+H93+H113+H133</f>
        <v>527.5</v>
      </c>
      <c r="I164" s="72" t="n">
        <f aca="false">I63+I83+I93+I113+I133</f>
        <v>540.9</v>
      </c>
      <c r="J164" s="72" t="n">
        <f aca="false">J63+J83+J93+J113+J133</f>
        <v>523.3</v>
      </c>
      <c r="K164" s="72" t="n">
        <f aca="false">K63+K83+K93+K113+K133</f>
        <v>538.5</v>
      </c>
      <c r="L164" s="72" t="n">
        <f aca="false">L63+L83+L93+L113+L133</f>
        <v>533</v>
      </c>
      <c r="M164" s="72" t="n">
        <f aca="false">M63+M83+M93+M113+M133</f>
        <v>522.4175</v>
      </c>
      <c r="N164" s="72" t="n">
        <f aca="false">N63+N83+N93+N113+N133</f>
        <v>522.4175</v>
      </c>
      <c r="O164" s="72" t="n">
        <f aca="false">O63+O83+O93+O113+O133</f>
        <v>522.4175</v>
      </c>
      <c r="P164" s="72" t="n">
        <f aca="false">P63+P83+P93+P113+P133</f>
        <v>522.4175</v>
      </c>
      <c r="Q164" s="72" t="n">
        <f aca="false">Q63+Q83+Q93+Q113+Q133</f>
        <v>517.468875</v>
      </c>
      <c r="R164" s="72" t="n">
        <f aca="false">R63+R83+R93+R113+R133</f>
        <v>517.468875</v>
      </c>
      <c r="S164" s="72" t="n">
        <f aca="false">S63+S83+S93+S113+S133</f>
        <v>535.798125</v>
      </c>
      <c r="T164" s="72" t="n">
        <f aca="false">T63+T83+T93+T113+T133</f>
        <v>535.798125</v>
      </c>
      <c r="U164" s="72" t="n">
        <f aca="false">U63+U83+U93+U113+U133</f>
        <v>535.798125</v>
      </c>
      <c r="V164" s="72" t="n">
        <f aca="false">V63+V83+V93+V113+V133</f>
        <v>535.798125</v>
      </c>
      <c r="W164" s="72" t="n">
        <f aca="false">W63+W83+W93+W113+W133</f>
        <v>525.809</v>
      </c>
      <c r="X164" s="72" t="n">
        <f aca="false">X63+X83+X93+X113+X133</f>
        <v>525.809</v>
      </c>
      <c r="Y164" s="72" t="n">
        <f aca="false">Y63+Y83+Y93+Y113+Y133</f>
        <v>525.809</v>
      </c>
      <c r="Z164" s="72" t="n">
        <f aca="false">Z63+Z83+Z93+Z113+Z133</f>
        <v>508.734125</v>
      </c>
      <c r="AA164" s="72" t="n">
        <f aca="false">AA63+AA83+AA93+AA113+AA133</f>
        <v>508.734125</v>
      </c>
      <c r="AB164" s="72" t="n">
        <f aca="false">AB63+AB83+AB93+AB113+AB133</f>
        <v>508.734125</v>
      </c>
    </row>
    <row r="165" customFormat="false" ht="15" hidden="false" customHeight="false" outlineLevel="0" collapsed="false">
      <c r="A165" s="28" t="s">
        <v>891</v>
      </c>
      <c r="B165" s="58" t="s">
        <v>885</v>
      </c>
      <c r="C165" s="59" t="n">
        <f aca="false">SUM(E165:P165)</f>
        <v>1036845.4600872</v>
      </c>
      <c r="D165" s="59" t="n">
        <f aca="false">SUM(Q165:AB165)</f>
        <v>1182113.23538519</v>
      </c>
      <c r="E165" s="71" t="n">
        <f aca="false">E11+E31+E51+E121</f>
        <v>69013.1124913734</v>
      </c>
      <c r="F165" s="71" t="n">
        <f aca="false">F11+F31+F51+F121</f>
        <v>68866.5710186514</v>
      </c>
      <c r="G165" s="71" t="n">
        <f aca="false">G11+G31+G51+G121</f>
        <v>68782.8868177598</v>
      </c>
      <c r="H165" s="71" t="n">
        <f aca="false">H11+H31+H51+H121</f>
        <v>91594.8052216556</v>
      </c>
      <c r="I165" s="71" t="n">
        <f aca="false">I11+I31+I51+I121</f>
        <v>91498.5346286685</v>
      </c>
      <c r="J165" s="71" t="n">
        <f aca="false">J11+J31+J51+J121</f>
        <v>91975.6836982839</v>
      </c>
      <c r="K165" s="71" t="n">
        <f aca="false">K11+K31+K51+K121</f>
        <v>92597.2617287339</v>
      </c>
      <c r="L165" s="71" t="n">
        <f aca="false">L11+L31+L51+L121</f>
        <v>92613.8049119867</v>
      </c>
      <c r="M165" s="71" t="n">
        <f aca="false">M11+M31+M51+M121</f>
        <v>92475.6998925208</v>
      </c>
      <c r="N165" s="71" t="n">
        <f aca="false">N11+N31+N51+N121</f>
        <v>92475.6998925208</v>
      </c>
      <c r="O165" s="71" t="n">
        <f aca="false">O11+O31+O51+O121</f>
        <v>92475.6998925208</v>
      </c>
      <c r="P165" s="71" t="n">
        <f aca="false">P11+P31+P51+P121</f>
        <v>92475.6998925208</v>
      </c>
      <c r="Q165" s="71" t="n">
        <f aca="false">Q11+Q31+Q51+Q121</f>
        <v>100258.189548152</v>
      </c>
      <c r="R165" s="71" t="n">
        <f aca="false">R11+R31+R51+R121</f>
        <v>100258.189548152</v>
      </c>
      <c r="S165" s="71" t="n">
        <f aca="false">S11+S31+S51+S121</f>
        <v>100258.189548152</v>
      </c>
      <c r="T165" s="71" t="n">
        <f aca="false">T11+T31+T51+T121</f>
        <v>98823.2119696769</v>
      </c>
      <c r="U165" s="71" t="n">
        <f aca="false">U11+U31+U51+U121</f>
        <v>98823.2119696769</v>
      </c>
      <c r="V165" s="71" t="n">
        <f aca="false">V11+V31+V51+V121</f>
        <v>98823.2119696769</v>
      </c>
      <c r="W165" s="71" t="n">
        <f aca="false">W11+W31+W51+W121</f>
        <v>97478.1718052831</v>
      </c>
      <c r="X165" s="71" t="n">
        <f aca="false">X11+X31+X51+X121</f>
        <v>97478.1718052831</v>
      </c>
      <c r="Y165" s="71" t="n">
        <f aca="false">Y11+Y31+Y51+Y121</f>
        <v>97478.1718052831</v>
      </c>
      <c r="Z165" s="71" t="n">
        <f aca="false">Z11+Z31+Z51+Z121</f>
        <v>97478.1718052831</v>
      </c>
      <c r="AA165" s="71" t="n">
        <f aca="false">AA11+AA31+AA51+AA121</f>
        <v>97478.1718052831</v>
      </c>
      <c r="AB165" s="71" t="n">
        <f aca="false">AB11+AB31+AB51+AB121</f>
        <v>97478.1718052831</v>
      </c>
    </row>
    <row r="166" customFormat="false" ht="15" hidden="false" customHeight="false" outlineLevel="0" collapsed="false">
      <c r="A166" s="28" t="s">
        <v>892</v>
      </c>
      <c r="B166" s="58" t="s">
        <v>885</v>
      </c>
      <c r="C166" s="66" t="n">
        <f aca="false">SUM(E166:P166)</f>
        <v>9375</v>
      </c>
      <c r="D166" s="66" t="n">
        <f aca="false">SUM(Q166:AB166)</f>
        <v>10414.5</v>
      </c>
      <c r="E166" s="72" t="n">
        <f aca="false">E12+E32+E52+E122</f>
        <v>620</v>
      </c>
      <c r="F166" s="72" t="n">
        <f aca="false">F12+F32+F52+F122</f>
        <v>620</v>
      </c>
      <c r="G166" s="72" t="n">
        <f aca="false">G12+G32+G52+G122</f>
        <v>620</v>
      </c>
      <c r="H166" s="72" t="n">
        <f aca="false">H12+H32+H52+H122</f>
        <v>835</v>
      </c>
      <c r="I166" s="72" t="n">
        <f aca="false">I12+I32+I52+I122</f>
        <v>835</v>
      </c>
      <c r="J166" s="72" t="n">
        <f aca="false">J12+J32+J52+J122</f>
        <v>835</v>
      </c>
      <c r="K166" s="72" t="n">
        <f aca="false">K12+K32+K52+K122</f>
        <v>835</v>
      </c>
      <c r="L166" s="72" t="n">
        <f aca="false">L12+L32+L52+L122</f>
        <v>835</v>
      </c>
      <c r="M166" s="72" t="n">
        <f aca="false">M12+M32+M52+M122</f>
        <v>835</v>
      </c>
      <c r="N166" s="72" t="n">
        <f aca="false">N12+N32+N52+N122</f>
        <v>835</v>
      </c>
      <c r="O166" s="72" t="n">
        <f aca="false">O12+O32+O52+O122</f>
        <v>835</v>
      </c>
      <c r="P166" s="72" t="n">
        <f aca="false">P12+P32+P52+P122</f>
        <v>835</v>
      </c>
      <c r="Q166" s="72" t="n">
        <f aca="false">Q12+Q32+Q52+Q122</f>
        <v>893.5</v>
      </c>
      <c r="R166" s="72" t="n">
        <f aca="false">R12+R32+R52+R122</f>
        <v>893.5</v>
      </c>
      <c r="S166" s="72" t="n">
        <f aca="false">S12+S32+S52+S122</f>
        <v>893.5</v>
      </c>
      <c r="T166" s="72" t="n">
        <f aca="false">T12+T32+T52+T122</f>
        <v>872</v>
      </c>
      <c r="U166" s="72" t="n">
        <f aca="false">U12+U32+U52+U122</f>
        <v>872</v>
      </c>
      <c r="V166" s="72" t="n">
        <f aca="false">V12+V32+V52+V122</f>
        <v>872</v>
      </c>
      <c r="W166" s="72" t="n">
        <f aca="false">W12+W32+W52+W122</f>
        <v>853</v>
      </c>
      <c r="X166" s="72" t="n">
        <f aca="false">X12+X32+X52+X122</f>
        <v>853</v>
      </c>
      <c r="Y166" s="72" t="n">
        <f aca="false">Y12+Y32+Y52+Y122</f>
        <v>853</v>
      </c>
      <c r="Z166" s="72" t="n">
        <f aca="false">Z12+Z32+Z52+Z122</f>
        <v>853</v>
      </c>
      <c r="AA166" s="72" t="n">
        <f aca="false">AA12+AA32+AA52+AA122</f>
        <v>853</v>
      </c>
      <c r="AB166" s="72" t="n">
        <f aca="false">AB12+AB32+AB52+AB122</f>
        <v>853</v>
      </c>
    </row>
    <row r="167" customFormat="false" ht="15" hidden="false" customHeight="false" outlineLevel="0" collapsed="false">
      <c r="A167" s="28" t="s">
        <v>893</v>
      </c>
      <c r="B167" s="58" t="s">
        <v>885</v>
      </c>
      <c r="C167" s="66" t="n">
        <f aca="false">SUM(E167:P167)</f>
        <v>10511.292</v>
      </c>
      <c r="D167" s="66" t="n">
        <f aca="false">SUM(Q167:AB167)</f>
        <v>11412.64905</v>
      </c>
      <c r="E167" s="72" t="n">
        <f aca="false">E13+E33+E53+E123</f>
        <v>724.3</v>
      </c>
      <c r="F167" s="72" t="n">
        <f aca="false">F13+F33+F53+F123</f>
        <v>710.4</v>
      </c>
      <c r="G167" s="72" t="n">
        <f aca="false">G13+G33+G53+G123</f>
        <v>714.3</v>
      </c>
      <c r="H167" s="72" t="n">
        <f aca="false">H13+H33+H53+H123</f>
        <v>952.1</v>
      </c>
      <c r="I167" s="72" t="n">
        <f aca="false">I13+I33+I53+I123</f>
        <v>946.2</v>
      </c>
      <c r="J167" s="72" t="n">
        <f aca="false">J13+J33+J53+J123</f>
        <v>929.8</v>
      </c>
      <c r="K167" s="72" t="n">
        <f aca="false">K13+K33+K53+K123</f>
        <v>946.3</v>
      </c>
      <c r="L167" s="72" t="n">
        <f aca="false">L13+L33+L53+L123</f>
        <v>929.7</v>
      </c>
      <c r="M167" s="72" t="n">
        <f aca="false">M13+M33+M53+M123</f>
        <v>914.548</v>
      </c>
      <c r="N167" s="72" t="n">
        <f aca="false">N13+N33+N53+N123</f>
        <v>914.548</v>
      </c>
      <c r="O167" s="72" t="n">
        <f aca="false">O13+O33+O53+O123</f>
        <v>914.548</v>
      </c>
      <c r="P167" s="72" t="n">
        <f aca="false">P13+P33+P53+P123</f>
        <v>914.548</v>
      </c>
      <c r="Q167" s="72" t="n">
        <f aca="false">Q13+Q33+Q53+Q123</f>
        <v>978.898</v>
      </c>
      <c r="R167" s="72" t="n">
        <f aca="false">R13+R33+R53+R123</f>
        <v>978.898</v>
      </c>
      <c r="S167" s="72" t="n">
        <f aca="false">S13+S33+S53+S123</f>
        <v>978.898</v>
      </c>
      <c r="T167" s="72" t="n">
        <f aca="false">T13+T33+T53+T123</f>
        <v>955.2742</v>
      </c>
      <c r="U167" s="72" t="n">
        <f aca="false">U13+U33+U53+U123</f>
        <v>955.2742</v>
      </c>
      <c r="V167" s="72" t="n">
        <f aca="false">V13+V33+V53+V123</f>
        <v>955.2742</v>
      </c>
      <c r="W167" s="72" t="n">
        <f aca="false">W13+W33+W53+W123</f>
        <v>935.022075</v>
      </c>
      <c r="X167" s="72" t="n">
        <f aca="false">X13+X33+X53+X123</f>
        <v>935.022075</v>
      </c>
      <c r="Y167" s="72" t="n">
        <f aca="false">Y13+Y33+Y53+Y123</f>
        <v>935.022075</v>
      </c>
      <c r="Z167" s="72" t="n">
        <f aca="false">Z13+Z33+Z53+Z123</f>
        <v>935.022075</v>
      </c>
      <c r="AA167" s="72" t="n">
        <f aca="false">AA13+AA33+AA53+AA123</f>
        <v>935.022075</v>
      </c>
      <c r="AB167" s="72" t="n">
        <f aca="false">AB13+AB33+AB53+AB123</f>
        <v>935.022075</v>
      </c>
    </row>
    <row r="168" customFormat="false" ht="15" hidden="false" customHeight="false" outlineLevel="0" collapsed="false">
      <c r="A168" s="68" t="s">
        <v>894</v>
      </c>
      <c r="B168" s="69" t="s">
        <v>895</v>
      </c>
      <c r="C168" s="70" t="n">
        <f aca="false">SUM(E168:P168)</f>
        <v>2264397.52942053</v>
      </c>
      <c r="D168" s="70" t="n">
        <f aca="false">SUM(Q168:AB168)</f>
        <v>2425082.93356116</v>
      </c>
      <c r="E168" s="70" t="n">
        <f aca="false">E159+E162+E165</f>
        <v>166561.248867628</v>
      </c>
      <c r="F168" s="70" t="n">
        <f aca="false">F159+F162+F165</f>
        <v>166356.523501859</v>
      </c>
      <c r="G168" s="70" t="n">
        <f aca="false">G159+G162+G165</f>
        <v>166419.453048656</v>
      </c>
      <c r="H168" s="70" t="n">
        <f aca="false">H159+H162+H165</f>
        <v>189372.816871897</v>
      </c>
      <c r="I168" s="70" t="n">
        <f aca="false">I159+I162+I165</f>
        <v>189228.218401487</v>
      </c>
      <c r="J168" s="70" t="n">
        <f aca="false">J159+J162+J165</f>
        <v>203178.680723191</v>
      </c>
      <c r="K168" s="70" t="n">
        <f aca="false">K159+K162+K165</f>
        <v>204071.873019969</v>
      </c>
      <c r="L168" s="70" t="n">
        <f aca="false">L159+L162+L165</f>
        <v>204099.420516524</v>
      </c>
      <c r="M168" s="70" t="n">
        <f aca="false">M159+M162+M165</f>
        <v>203902.323617329</v>
      </c>
      <c r="N168" s="70" t="n">
        <f aca="false">N159+N162+N165</f>
        <v>190402.323617329</v>
      </c>
      <c r="O168" s="70" t="n">
        <f aca="false">O159+O162+O165</f>
        <v>190402.323617329</v>
      </c>
      <c r="P168" s="70" t="n">
        <f aca="false">P159+P162+P165</f>
        <v>190402.323617329</v>
      </c>
      <c r="Q168" s="70" t="n">
        <f aca="false">Q159+Q162+Q165</f>
        <v>195930.81327296</v>
      </c>
      <c r="R168" s="70" t="n">
        <f aca="false">R159+R162+R165</f>
        <v>195930.81327296</v>
      </c>
      <c r="S168" s="70" t="n">
        <f aca="false">S159+S162+S165</f>
        <v>198510.063786691</v>
      </c>
      <c r="T168" s="70" t="n">
        <f aca="false">T159+T162+T165</f>
        <v>200354.219404554</v>
      </c>
      <c r="U168" s="70" t="n">
        <f aca="false">U159+U162+U165</f>
        <v>200354.219404554</v>
      </c>
      <c r="V168" s="70" t="n">
        <f aca="false">V159+V162+V165</f>
        <v>206969.668685331</v>
      </c>
      <c r="W168" s="70" t="n">
        <f aca="false">W159+W162+W165</f>
        <v>205017.522622351</v>
      </c>
      <c r="X168" s="70" t="n">
        <f aca="false">X159+X162+X165</f>
        <v>205017.522622351</v>
      </c>
      <c r="Y168" s="70" t="n">
        <f aca="false">Y159+Y162+Y165</f>
        <v>205017.522622351</v>
      </c>
      <c r="Z168" s="70" t="n">
        <f aca="false">Z159+Z162+Z165</f>
        <v>203993.522622351</v>
      </c>
      <c r="AA168" s="70" t="n">
        <f aca="false">AA159+AA162+AA165</f>
        <v>203993.522622351</v>
      </c>
      <c r="AB168" s="70" t="n">
        <f aca="false">AB159+AB162+AB165</f>
        <v>203993.522622351</v>
      </c>
    </row>
    <row r="169" customFormat="false" ht="15" hidden="false" customHeight="false" outlineLevel="0" collapsed="false">
      <c r="A169" s="28" t="s">
        <v>896</v>
      </c>
      <c r="B169" s="58"/>
      <c r="C169" s="59" t="n">
        <f aca="false">SUM(E169:P169)</f>
        <v>2264397.52942053</v>
      </c>
      <c r="D169" s="59" t="n">
        <f aca="false">SUM(Q169:AB169)</f>
        <v>2216387.84566294</v>
      </c>
      <c r="E169" s="71" t="n">
        <f aca="false">E11+E21+E31+E41+E51+E61+E71+E81+E91+E101+E111</f>
        <v>166561.248867628</v>
      </c>
      <c r="F169" s="71" t="n">
        <f aca="false">F11+F21+F31+F41+F51+F61+F71+F81+F91+F101+F111</f>
        <v>166356.523501859</v>
      </c>
      <c r="G169" s="71" t="n">
        <f aca="false">G11+G21+G31+G41+G51+G61+G71+G81+G91+G101+G111</f>
        <v>166419.453048656</v>
      </c>
      <c r="H169" s="71" t="n">
        <f aca="false">H11+H21+H31+H41+H51+H61+H71+H81+H91+H101+H111</f>
        <v>189372.816871897</v>
      </c>
      <c r="I169" s="71" t="n">
        <f aca="false">I11+I21+I31+I41+I51+I61+I71+I81+I91+I101+I111</f>
        <v>189228.218401487</v>
      </c>
      <c r="J169" s="71" t="n">
        <f aca="false">J11+J21+J31+J41+J51+J61+J71+J81+J91+J101+J111</f>
        <v>203178.680723191</v>
      </c>
      <c r="K169" s="71" t="n">
        <f aca="false">K11+K21+K31+K41+K51+K61+K71+K81+K91+K101+K111</f>
        <v>204071.873019969</v>
      </c>
      <c r="L169" s="71" t="n">
        <f aca="false">L11+L21+L31+L41+L51+L61+L71+L81+L91+L101+L111</f>
        <v>204099.420516524</v>
      </c>
      <c r="M169" s="71" t="n">
        <f aca="false">M11+M21+M31+M41+M51+M61+M71+M81+M91+M101+M111</f>
        <v>203902.323617329</v>
      </c>
      <c r="N169" s="71" t="n">
        <f aca="false">N11+N21+N31+N41+N51+N61+N71+N81+N91+N101+N111</f>
        <v>190402.323617329</v>
      </c>
      <c r="O169" s="71" t="n">
        <f aca="false">O11+O21+O31+O41+O51+O61+O71+O81+O91+O101+O111</f>
        <v>190402.323617329</v>
      </c>
      <c r="P169" s="71" t="n">
        <f aca="false">P11+P21+P31+P41+P51+P61+P71+P81+P91+P101+P111</f>
        <v>190402.323617329</v>
      </c>
      <c r="Q169" s="71" t="n">
        <f aca="false">Q11+Q21+Q31+Q41+Q51+Q61+Q71+Q81+Q91+Q101+Q111</f>
        <v>190109.840523736</v>
      </c>
      <c r="R169" s="71" t="n">
        <f aca="false">R11+R21+R31+R41+R51+R61+R71+R81+R91+R101+R111</f>
        <v>190109.840523736</v>
      </c>
      <c r="S169" s="71" t="n">
        <f aca="false">S11+S21+S31+S41+S51+S61+S71+S81+S91+S101+S111</f>
        <v>188485.840523736</v>
      </c>
      <c r="T169" s="71" t="n">
        <f aca="false">T11+T21+T31+T41+T51+T61+T71+T81+T91+T101+T111</f>
        <v>185929.996141599</v>
      </c>
      <c r="U169" s="71" t="n">
        <f aca="false">U11+U21+U31+U41+U51+U61+U71+U81+U91+U101+U111</f>
        <v>185929.996141599</v>
      </c>
      <c r="V169" s="71" t="n">
        <f aca="false">V11+V21+V31+V41+V51+V61+V71+V81+V91+V101+V111</f>
        <v>184372.458312345</v>
      </c>
      <c r="W169" s="71" t="n">
        <f aca="false">W11+W21+W31+W41+W51+W61+W71+W81+W91+W101+W111</f>
        <v>182420.312249365</v>
      </c>
      <c r="X169" s="71" t="n">
        <f aca="false">X11+X21+X31+X41+X51+X61+X71+X81+X91+X101+X111</f>
        <v>182420.312249365</v>
      </c>
      <c r="Y169" s="71" t="n">
        <f aca="false">Y11+Y21+Y31+Y41+Y51+Y61+Y71+Y81+Y91+Y101+Y111</f>
        <v>182420.312249365</v>
      </c>
      <c r="Z169" s="71" t="n">
        <f aca="false">Z11+Z21+Z31+Z41+Z51+Z61+Z71+Z81+Z91+Z101+Z111</f>
        <v>181396.312249365</v>
      </c>
      <c r="AA169" s="71" t="n">
        <f aca="false">AA11+AA21+AA31+AA41+AA51+AA61+AA71+AA81+AA91+AA101+AA111</f>
        <v>181396.312249365</v>
      </c>
      <c r="AB169" s="71" t="n">
        <f aca="false">AB11+AB21+AB31+AB41+AB51+AB61+AB71+AB81+AB91+AB101+AB111</f>
        <v>181396.312249365</v>
      </c>
    </row>
    <row r="170" customFormat="false" ht="15" hidden="false" customHeight="false" outlineLevel="0" collapsed="false">
      <c r="A170" s="28" t="s">
        <v>897</v>
      </c>
      <c r="B170" s="58"/>
      <c r="C170" s="59" t="n">
        <f aca="false">SUM(E170:P170)</f>
        <v>0</v>
      </c>
      <c r="D170" s="59" t="n">
        <f aca="false">SUM(Q170:AB170)</f>
        <v>208695.087898215</v>
      </c>
      <c r="E170" s="71" t="n">
        <f aca="false">E121+E131+E141+E151</f>
        <v>0</v>
      </c>
      <c r="F170" s="71" t="n">
        <f aca="false">F121+F131+F141+F151</f>
        <v>0</v>
      </c>
      <c r="G170" s="71" t="n">
        <f aca="false">G121+G131+G141+G151</f>
        <v>0</v>
      </c>
      <c r="H170" s="71" t="n">
        <f aca="false">H121+H131+H141+H151</f>
        <v>0</v>
      </c>
      <c r="I170" s="71" t="n">
        <f aca="false">I121+I131+I141+I151</f>
        <v>0</v>
      </c>
      <c r="J170" s="71" t="n">
        <f aca="false">J121+J131+J141+J151</f>
        <v>0</v>
      </c>
      <c r="K170" s="71" t="n">
        <f aca="false">K121+K131+K141+K151</f>
        <v>0</v>
      </c>
      <c r="L170" s="71" t="n">
        <f aca="false">L121+L131+L141+L151</f>
        <v>0</v>
      </c>
      <c r="M170" s="71" t="n">
        <f aca="false">M121+M131+M141+M151</f>
        <v>0</v>
      </c>
      <c r="N170" s="71" t="n">
        <f aca="false">N121+N131+N141+N151</f>
        <v>0</v>
      </c>
      <c r="O170" s="71" t="n">
        <f aca="false">O121+O131+O141+O151</f>
        <v>0</v>
      </c>
      <c r="P170" s="71" t="n">
        <f aca="false">P121+P131+P141+P151</f>
        <v>0</v>
      </c>
      <c r="Q170" s="71" t="n">
        <f aca="false">Q121+Q131+Q141+Q151</f>
        <v>5820.97274922387</v>
      </c>
      <c r="R170" s="71" t="n">
        <f aca="false">R121+R131+R141+R151</f>
        <v>5820.97274922387</v>
      </c>
      <c r="S170" s="71" t="n">
        <f aca="false">S121+S131+S141+S151</f>
        <v>10024.2232629545</v>
      </c>
      <c r="T170" s="71" t="n">
        <f aca="false">T121+T131+T141+T151</f>
        <v>14424.2232629545</v>
      </c>
      <c r="U170" s="71" t="n">
        <f aca="false">U121+U131+U141+U151</f>
        <v>14424.2232629545</v>
      </c>
      <c r="V170" s="71" t="n">
        <f aca="false">V121+V131+V141+V151</f>
        <v>22597.2103729862</v>
      </c>
      <c r="W170" s="71" t="n">
        <f aca="false">W121+W131+W141+W151</f>
        <v>22597.2103729862</v>
      </c>
      <c r="X170" s="71" t="n">
        <f aca="false">X121+X131+X141+X151</f>
        <v>22597.2103729862</v>
      </c>
      <c r="Y170" s="71" t="n">
        <f aca="false">Y121+Y131+Y141+Y151</f>
        <v>22597.2103729862</v>
      </c>
      <c r="Z170" s="71" t="n">
        <f aca="false">Z121+Z131+Z141+Z151</f>
        <v>22597.2103729862</v>
      </c>
      <c r="AA170" s="71" t="n">
        <f aca="false">AA121+AA131+AA141+AA151</f>
        <v>22597.2103729862</v>
      </c>
      <c r="AB170" s="71" t="n">
        <f aca="false">AB121+AB131+AB141+AB151</f>
        <v>22597.2103729862</v>
      </c>
    </row>
    <row r="171" customFormat="false" ht="15" hidden="false" customHeight="false" outlineLevel="0" collapsed="false">
      <c r="A171" s="28" t="s">
        <v>857</v>
      </c>
      <c r="B171" s="58"/>
      <c r="C171" s="66" t="n">
        <f aca="false">SUM(E171:P171)</f>
        <v>22055</v>
      </c>
      <c r="D171" s="66" t="n">
        <f aca="false">SUM(Q171:AB171)</f>
        <v>22788</v>
      </c>
      <c r="E171" s="72" t="n">
        <f aca="false">E160+E163+E166</f>
        <v>1630</v>
      </c>
      <c r="F171" s="72" t="n">
        <f aca="false">F160+F163+F166</f>
        <v>1630</v>
      </c>
      <c r="G171" s="72" t="n">
        <f aca="false">G160+G163+G166</f>
        <v>1630</v>
      </c>
      <c r="H171" s="72" t="n">
        <f aca="false">H160+H163+H166</f>
        <v>1845</v>
      </c>
      <c r="I171" s="72" t="n">
        <f aca="false">I160+I163+I166</f>
        <v>1845</v>
      </c>
      <c r="J171" s="72" t="n">
        <f aca="false">J160+J163+J166</f>
        <v>1985</v>
      </c>
      <c r="K171" s="72" t="n">
        <f aca="false">K160+K163+K166</f>
        <v>1985</v>
      </c>
      <c r="L171" s="72" t="n">
        <f aca="false">L160+L163+L166</f>
        <v>1985</v>
      </c>
      <c r="M171" s="72" t="n">
        <f aca="false">M160+M163+M166</f>
        <v>1985</v>
      </c>
      <c r="N171" s="72" t="n">
        <f aca="false">N160+N163+N166</f>
        <v>1845</v>
      </c>
      <c r="O171" s="72" t="n">
        <f aca="false">O160+O163+O166</f>
        <v>1845</v>
      </c>
      <c r="P171" s="72" t="n">
        <f aca="false">P160+P163+P166</f>
        <v>1845</v>
      </c>
      <c r="Q171" s="72" t="n">
        <f aca="false">Q160+Q163+Q166</f>
        <v>1870.25</v>
      </c>
      <c r="R171" s="72" t="n">
        <f aca="false">R160+R163+R166</f>
        <v>1870.25</v>
      </c>
      <c r="S171" s="72" t="n">
        <f aca="false">S160+S163+S166</f>
        <v>1886</v>
      </c>
      <c r="T171" s="72" t="n">
        <f aca="false">T160+T163+T166</f>
        <v>1890.5</v>
      </c>
      <c r="U171" s="72" t="n">
        <f aca="false">U160+U163+U166</f>
        <v>1890.5</v>
      </c>
      <c r="V171" s="72" t="n">
        <f aca="false">V160+V163+V166</f>
        <v>1943</v>
      </c>
      <c r="W171" s="72" t="n">
        <f aca="false">W160+W163+W166</f>
        <v>1914.5</v>
      </c>
      <c r="X171" s="72" t="n">
        <f aca="false">X160+X163+X166</f>
        <v>1914.5</v>
      </c>
      <c r="Y171" s="72" t="n">
        <f aca="false">Y160+Y163+Y166</f>
        <v>1914.5</v>
      </c>
      <c r="Z171" s="72" t="n">
        <f aca="false">Z160+Z163+Z166</f>
        <v>1898</v>
      </c>
      <c r="AA171" s="72" t="n">
        <f aca="false">AA160+AA163+AA166</f>
        <v>1898</v>
      </c>
      <c r="AB171" s="72" t="n">
        <f aca="false">AB160+AB163+AB166</f>
        <v>1898</v>
      </c>
    </row>
    <row r="172" customFormat="false" ht="15" hidden="false" customHeight="false" outlineLevel="0" collapsed="false">
      <c r="A172" s="28" t="s">
        <v>802</v>
      </c>
      <c r="B172" s="58"/>
      <c r="C172" s="66" t="n">
        <f aca="false">SUM(E172:P172)</f>
        <v>24568.3440833333</v>
      </c>
      <c r="D172" s="66" t="n">
        <f aca="false">SUM(Q172:AB172)</f>
        <v>24731.58155</v>
      </c>
      <c r="E172" s="72" t="n">
        <f aca="false">E161+E164+E167</f>
        <v>1879.6</v>
      </c>
      <c r="F172" s="72" t="n">
        <f aca="false">F161+F164+F167</f>
        <v>1838.3</v>
      </c>
      <c r="G172" s="72" t="n">
        <f aca="false">G161+G164+G167</f>
        <v>1857.8</v>
      </c>
      <c r="H172" s="72" t="n">
        <f aca="false">H161+H164+H167</f>
        <v>2080.1</v>
      </c>
      <c r="I172" s="72" t="n">
        <f aca="false">I161+I164+I167</f>
        <v>2083.8</v>
      </c>
      <c r="J172" s="72" t="n">
        <f aca="false">J161+J164+J167</f>
        <v>2204.3</v>
      </c>
      <c r="K172" s="72" t="n">
        <f aca="false">K161+K164+K167</f>
        <v>2236.1</v>
      </c>
      <c r="L172" s="72" t="n">
        <f aca="false">L161+L164+L167</f>
        <v>2224.9</v>
      </c>
      <c r="M172" s="72" t="n">
        <f aca="false">M161+M164+M167</f>
        <v>2160.62008333333</v>
      </c>
      <c r="N172" s="72" t="n">
        <f aca="false">N161+N164+N167</f>
        <v>2000.94133333333</v>
      </c>
      <c r="O172" s="72" t="n">
        <f aca="false">O161+O164+O167</f>
        <v>2000.94133333333</v>
      </c>
      <c r="P172" s="72" t="n">
        <f aca="false">P161+P164+P167</f>
        <v>2000.94133333333</v>
      </c>
      <c r="Q172" s="72" t="n">
        <f aca="false">Q161+Q164+Q167</f>
        <v>2026.58614583333</v>
      </c>
      <c r="R172" s="72" t="n">
        <f aca="false">R161+R164+R167</f>
        <v>2026.58614583333</v>
      </c>
      <c r="S172" s="72" t="n">
        <f aca="false">S161+S164+S167</f>
        <v>2044.91539583333</v>
      </c>
      <c r="T172" s="72" t="n">
        <f aca="false">T161+T164+T167</f>
        <v>2050.44472083333</v>
      </c>
      <c r="U172" s="72" t="n">
        <f aca="false">U161+U164+U167</f>
        <v>2050.44472083333</v>
      </c>
      <c r="V172" s="72" t="n">
        <f aca="false">V161+V164+V167</f>
        <v>2109.32522083333</v>
      </c>
      <c r="W172" s="72" t="n">
        <f aca="false">W161+W164+W167</f>
        <v>2079.08397083333</v>
      </c>
      <c r="X172" s="72" t="n">
        <f aca="false">X161+X164+X167</f>
        <v>2079.08397083333</v>
      </c>
      <c r="Y172" s="72" t="n">
        <f aca="false">Y161+Y164+Y167</f>
        <v>2079.08397083333</v>
      </c>
      <c r="Z172" s="72" t="n">
        <f aca="false">Z161+Z164+Z167</f>
        <v>2062.00909583333</v>
      </c>
      <c r="AA172" s="72" t="n">
        <f aca="false">AA161+AA164+AA167</f>
        <v>2062.00909583333</v>
      </c>
      <c r="AB172" s="72" t="n">
        <f aca="false">AB161+AB164+AB167</f>
        <v>2062.00909583333</v>
      </c>
    </row>
    <row r="173" customFormat="false" ht="15" hidden="false" customHeight="false" outlineLevel="0" collapsed="false">
      <c r="A173" s="28" t="s">
        <v>898</v>
      </c>
      <c r="B173" s="58"/>
      <c r="C173" s="66" t="n">
        <f aca="false">SUM(E173:P173)</f>
        <v>2513.34408333333</v>
      </c>
      <c r="D173" s="66" t="n">
        <f aca="false">SUM(Q173:AB173)</f>
        <v>1943.58155</v>
      </c>
      <c r="E173" s="72" t="n">
        <f aca="false">E172-E171</f>
        <v>249.6</v>
      </c>
      <c r="F173" s="72" t="n">
        <f aca="false">F172-F171</f>
        <v>208.3</v>
      </c>
      <c r="G173" s="72" t="n">
        <f aca="false">G172-G171</f>
        <v>227.8</v>
      </c>
      <c r="H173" s="72" t="n">
        <f aca="false">H172-H171</f>
        <v>235.1</v>
      </c>
      <c r="I173" s="72" t="n">
        <f aca="false">I172-I171</f>
        <v>238.8</v>
      </c>
      <c r="J173" s="72" t="n">
        <f aca="false">J172-J171</f>
        <v>219.3</v>
      </c>
      <c r="K173" s="72" t="n">
        <f aca="false">K172-K171</f>
        <v>251.1</v>
      </c>
      <c r="L173" s="72" t="n">
        <f aca="false">L172-L171</f>
        <v>239.9</v>
      </c>
      <c r="M173" s="72" t="n">
        <f aca="false">M172-M171</f>
        <v>175.620083333333</v>
      </c>
      <c r="N173" s="72" t="n">
        <f aca="false">N172-N171</f>
        <v>155.941333333333</v>
      </c>
      <c r="O173" s="72" t="n">
        <f aca="false">O172-O171</f>
        <v>155.941333333333</v>
      </c>
      <c r="P173" s="72" t="n">
        <f aca="false">P172-P171</f>
        <v>155.941333333333</v>
      </c>
      <c r="Q173" s="72" t="n">
        <f aca="false">Q172-Q171</f>
        <v>156.336145833333</v>
      </c>
      <c r="R173" s="72" t="n">
        <f aca="false">R172-R171</f>
        <v>156.336145833333</v>
      </c>
      <c r="S173" s="72" t="n">
        <f aca="false">S172-S171</f>
        <v>158.915395833334</v>
      </c>
      <c r="T173" s="72" t="n">
        <f aca="false">T172-T171</f>
        <v>159.944720833333</v>
      </c>
      <c r="U173" s="72" t="n">
        <f aca="false">U172-U171</f>
        <v>159.944720833333</v>
      </c>
      <c r="V173" s="72" t="n">
        <f aca="false">V172-V171</f>
        <v>166.325220833333</v>
      </c>
      <c r="W173" s="72" t="n">
        <f aca="false">W172-W171</f>
        <v>164.583970833333</v>
      </c>
      <c r="X173" s="72" t="n">
        <f aca="false">X172-X171</f>
        <v>164.583970833333</v>
      </c>
      <c r="Y173" s="72" t="n">
        <f aca="false">Y172-Y171</f>
        <v>164.583970833333</v>
      </c>
      <c r="Z173" s="72" t="n">
        <f aca="false">Z172-Z171</f>
        <v>164.009095833334</v>
      </c>
      <c r="AA173" s="72" t="n">
        <f aca="false">AA172-AA171</f>
        <v>164.009095833334</v>
      </c>
      <c r="AB173" s="72" t="n">
        <f aca="false">AB172-AB171</f>
        <v>164.009095833334</v>
      </c>
    </row>
    <row r="174" customFormat="false" ht="15" hidden="false" customHeight="false" outlineLevel="0" collapsed="false">
      <c r="A174" s="28" t="s">
        <v>862</v>
      </c>
      <c r="B174" s="58"/>
      <c r="C174" s="59" t="n">
        <f aca="false">SUM(E174:P174)</f>
        <v>125560.728891577</v>
      </c>
      <c r="D174" s="59" t="n">
        <f aca="false">SUM(Q174:AB174)</f>
        <v>102411.735346048</v>
      </c>
      <c r="E174" s="71" t="n">
        <f aca="false">E15+E25+E35+E45+E55+E65+E75+E85+E95+E105+E115+E125+E135+E145+E155</f>
        <v>12405.547995397</v>
      </c>
      <c r="F174" s="71" t="n">
        <f aca="false">F15+F25+F35+F45+F55+F65+F75+F85+F95+F105+F115+F125+F135+F145+F155</f>
        <v>10376.6115700806</v>
      </c>
      <c r="G174" s="71" t="n">
        <f aca="false">G15+G25+G35+G45+G55+G65+G75+G85+G95+G105+G115+G125+G135+G145+G155</f>
        <v>11314.9692925201</v>
      </c>
      <c r="H174" s="71" t="n">
        <f aca="false">H15+H25+H35+H45+H55+H65+H75+H85+H95+H105+H115+H125+H135+H145+H155</f>
        <v>11825.9491829689</v>
      </c>
      <c r="I174" s="71" t="n">
        <f aca="false">I15+I25+I35+I45+I55+I65+I75+I85+I95+I105+I115+I125+I135+I145+I155</f>
        <v>11955.5180851554</v>
      </c>
      <c r="J174" s="71" t="n">
        <f aca="false">J15+J25+J35+J45+J55+J65+J75+J85+J95+J105+J115+J125+J135+J145+J155</f>
        <v>10921.8750545455</v>
      </c>
      <c r="K174" s="71" t="n">
        <f aca="false">K15+K25+K35+K45+K55+K65+K75+K85+K95+K105+K115+K125+K135+K145+K155</f>
        <v>12528.1586817031</v>
      </c>
      <c r="L174" s="71" t="n">
        <f aca="false">L15+L25+L35+L45+L55+L65+L75+L85+L95+L105+L115+L125+L135+L145+L155</f>
        <v>11880.9399051784</v>
      </c>
      <c r="M174" s="71" t="n">
        <f aca="false">M15+M25+M35+M45+M55+M65+M75+M85+M95+M105+M115+M125+M135+M145+M155</f>
        <v>8774.43449433832</v>
      </c>
      <c r="N174" s="71" t="n">
        <f aca="false">N15+N25+N35+N45+N55+N65+N75+N85+N95+N105+N115+N125+N135+N145+N155</f>
        <v>7858.90820989643</v>
      </c>
      <c r="O174" s="71" t="n">
        <f aca="false">O15+O25+O35+O45+O55+O65+O75+O85+O95+O105+O115+O125+O135+O145+O155</f>
        <v>7858.90820989643</v>
      </c>
      <c r="P174" s="71" t="n">
        <f aca="false">P15+P25+P35+P45+P55+P65+P75+P85+P95+P105+P115+P125+P135+P145+P155</f>
        <v>7858.90820989643</v>
      </c>
      <c r="Q174" s="71" t="n">
        <f aca="false">Q15+Q25+Q35+Q45+Q55+Q65+Q75+Q85+Q95+Q105+Q115+Q125+Q135+Q145+Q155</f>
        <v>8277.88233470905</v>
      </c>
      <c r="R174" s="71" t="n">
        <f aca="false">R15+R25+R35+R45+R55+R65+R75+R85+R95+R105+R115+R125+R135+R145+R155</f>
        <v>8277.88233470905</v>
      </c>
      <c r="S174" s="71" t="n">
        <f aca="false">S15+S25+S35+S45+S55+S65+S75+S85+S95+S105+S115+S125+S135+S145+S155</f>
        <v>8403.67654669462</v>
      </c>
      <c r="T174" s="71" t="n">
        <f aca="false">T15+T25+T35+T45+T55+T65+T75+T85+T95+T105+T115+T125+T135+T145+T155</f>
        <v>8436.96161795525</v>
      </c>
      <c r="U174" s="71" t="n">
        <f aca="false">U15+U25+U35+U45+U55+U65+U75+U85+U95+U105+U115+U125+U135+U145+U155</f>
        <v>8436.96161795525</v>
      </c>
      <c r="V174" s="71" t="n">
        <f aca="false">V15+V25+V35+V45+V55+V65+V75+V85+V95+V105+V115+V125+V135+V145+V155</f>
        <v>8747.16341702715</v>
      </c>
      <c r="W174" s="71" t="n">
        <f aca="false">W15+W25+W35+W45+W55+W65+W75+W85+W95+W105+W115+W125+W135+W145+W155</f>
        <v>8652.55337326044</v>
      </c>
      <c r="X174" s="71" t="n">
        <f aca="false">X15+X25+X35+X45+X55+X65+X75+X85+X95+X105+X115+X125+X135+X145+X155</f>
        <v>8652.55337326044</v>
      </c>
      <c r="Y174" s="71" t="n">
        <f aca="false">Y15+Y25+Y35+Y45+Y55+Y65+Y75+Y85+Y95+Y105+Y115+Y125+Y135+Y145+Y155</f>
        <v>8652.55337326044</v>
      </c>
      <c r="Z174" s="71" t="n">
        <f aca="false">Z15+Z25+Z35+Z45+Z55+Z65+Z75+Z85+Z95+Z105+Z115+Z125+Z135+Z145+Z155</f>
        <v>8624.5157857388</v>
      </c>
      <c r="AA174" s="71" t="n">
        <f aca="false">AA15+AA25+AA35+AA45+AA55+AA65+AA75+AA85+AA95+AA105+AA115+AA125+AA135+AA145+AA155</f>
        <v>8624.5157857388</v>
      </c>
      <c r="AB174" s="71" t="n">
        <f aca="false">AB15+AB25+AB35+AB45+AB55+AB65+AB75+AB85+AB95+AB105+AB115+AB125+AB135+AB145+AB155</f>
        <v>8624.5157857388</v>
      </c>
    </row>
    <row r="175" customFormat="false" ht="15" hidden="false" customHeight="false" outlineLevel="0" collapsed="false">
      <c r="A175" s="28" t="s">
        <v>899</v>
      </c>
      <c r="B175" s="58"/>
      <c r="C175" s="61" t="n">
        <f aca="false">IF(C171=0,0,C173/C171)</f>
        <v>0.113958017834202</v>
      </c>
      <c r="D175" s="61" t="n">
        <f aca="false">IF(D171=0,0,D173/D171)</f>
        <v>0.0852896941372652</v>
      </c>
      <c r="E175" s="62" t="n">
        <f aca="false">IF(E171=0,0,E173/E171)</f>
        <v>0.153128834355828</v>
      </c>
      <c r="F175" s="62" t="n">
        <f aca="false">IF(F171=0,0,F173/F171)</f>
        <v>0.127791411042945</v>
      </c>
      <c r="G175" s="62" t="n">
        <f aca="false">IF(G171=0,0,G173/G171)</f>
        <v>0.139754601226994</v>
      </c>
      <c r="H175" s="62" t="n">
        <f aca="false">IF(H171=0,0,H173/H171)</f>
        <v>0.127425474254743</v>
      </c>
      <c r="I175" s="62" t="n">
        <f aca="false">IF(I171=0,0,I173/I171)</f>
        <v>0.129430894308943</v>
      </c>
      <c r="J175" s="62" t="n">
        <f aca="false">IF(J171=0,0,J173/J171)</f>
        <v>0.110478589420655</v>
      </c>
      <c r="K175" s="62" t="n">
        <f aca="false">IF(K171=0,0,K173/K171)</f>
        <v>0.126498740554156</v>
      </c>
      <c r="L175" s="62" t="n">
        <f aca="false">IF(L171=0,0,L173/L171)</f>
        <v>0.120856423173804</v>
      </c>
      <c r="M175" s="62" t="n">
        <f aca="false">IF(M171=0,0,M173/M171)</f>
        <v>0.0884735936188077</v>
      </c>
      <c r="N175" s="62" t="n">
        <f aca="false">IF(N171=0,0,N173/N171)</f>
        <v>0.0845210478771455</v>
      </c>
      <c r="O175" s="62" t="n">
        <f aca="false">IF(O171=0,0,O173/O171)</f>
        <v>0.0845210478771455</v>
      </c>
      <c r="P175" s="62" t="n">
        <f aca="false">IF(P171=0,0,P173/P171)</f>
        <v>0.0845210478771455</v>
      </c>
      <c r="Q175" s="62" t="n">
        <f aca="false">IF(Q171=0,0,Q173/Q171)</f>
        <v>0.0835910417502117</v>
      </c>
      <c r="R175" s="62" t="n">
        <f aca="false">IF(R171=0,0,R173/R171)</f>
        <v>0.0835910417502117</v>
      </c>
      <c r="S175" s="62" t="n">
        <f aca="false">IF(S171=0,0,S173/S171)</f>
        <v>0.0842605492223402</v>
      </c>
      <c r="T175" s="62" t="n">
        <f aca="false">IF(T171=0,0,T173/T171)</f>
        <v>0.0846044542889887</v>
      </c>
      <c r="U175" s="62" t="n">
        <f aca="false">IF(U171=0,0,U173/U171)</f>
        <v>0.0846044542889887</v>
      </c>
      <c r="V175" s="62" t="n">
        <f aca="false">IF(V171=0,0,V173/V171)</f>
        <v>0.0856022752616229</v>
      </c>
      <c r="W175" s="62" t="n">
        <f aca="false">IF(W171=0,0,W173/W171)</f>
        <v>0.0859670780012188</v>
      </c>
      <c r="X175" s="62" t="n">
        <f aca="false">IF(X171=0,0,X173/X171)</f>
        <v>0.0859670780012188</v>
      </c>
      <c r="Y175" s="62" t="n">
        <f aca="false">IF(Y171=0,0,Y173/Y171)</f>
        <v>0.0859670780012188</v>
      </c>
      <c r="Z175" s="62" t="n">
        <f aca="false">IF(Z171=0,0,Z173/Z171)</f>
        <v>0.0864115362662453</v>
      </c>
      <c r="AA175" s="62" t="n">
        <f aca="false">IF(AA171=0,0,AA173/AA171)</f>
        <v>0.0864115362662453</v>
      </c>
      <c r="AB175" s="62" t="n">
        <f aca="false">IF(AB171=0,0,AB173/AB171)</f>
        <v>0.0864115362662453</v>
      </c>
    </row>
    <row r="176" customFormat="false" ht="15" hidden="false" customHeight="false" outlineLevel="0" collapsed="false">
      <c r="A176" s="28" t="s">
        <v>900</v>
      </c>
      <c r="B176" s="58"/>
      <c r="C176" s="66" t="n">
        <f aca="false">AVERAGE(E176:P176)</f>
        <v>10.0833333333333</v>
      </c>
      <c r="D176" s="66" t="n">
        <f aca="false">AVERAGE(Q176:AB176)</f>
        <v>10.5166666666667</v>
      </c>
      <c r="E176" s="72" t="n">
        <f aca="false">E9+E19+E29+E39+E49+E59+E69+E79+E89+E99+E109+E119+E129+E139+E149</f>
        <v>9</v>
      </c>
      <c r="F176" s="72" t="n">
        <f aca="false">F9+F19+F29+F39+F49+F59+F69+F79+F89+F99+F109+F119+F129+F139+F149</f>
        <v>9</v>
      </c>
      <c r="G176" s="72" t="n">
        <f aca="false">G9+G19+G29+G39+G49+G59+G69+G79+G89+G99+G109+G119+G129+G139+G149</f>
        <v>9</v>
      </c>
      <c r="H176" s="72" t="n">
        <f aca="false">H9+H19+H29+H39+H49+H59+H69+H79+H89+H99+H109+H119+H129+H139+H149</f>
        <v>10</v>
      </c>
      <c r="I176" s="72" t="n">
        <f aca="false">I9+I19+I29+I39+I49+I59+I69+I79+I89+I99+I109+I119+I129+I139+I149</f>
        <v>10</v>
      </c>
      <c r="J176" s="72" t="n">
        <f aca="false">J9+J19+J29+J39+J49+J59+J69+J79+J89+J99+J109+J119+J129+J139+J149</f>
        <v>11</v>
      </c>
      <c r="K176" s="72" t="n">
        <f aca="false">K9+K19+K29+K39+K49+K59+K69+K79+K89+K99+K109+K119+K129+K139+K149</f>
        <v>11</v>
      </c>
      <c r="L176" s="72" t="n">
        <f aca="false">L9+L19+L29+L39+L49+L59+L69+L79+L89+L99+L109+L119+L129+L139+L149</f>
        <v>11</v>
      </c>
      <c r="M176" s="72" t="n">
        <f aca="false">M9+M19+M29+M39+M49+M59+M69+M79+M89+M99+M109+M119+M129+M139+M149</f>
        <v>11</v>
      </c>
      <c r="N176" s="72" t="n">
        <f aca="false">N9+N19+N29+N39+N49+N59+N69+N79+N89+N99+N109+N119+N129+N139+N149</f>
        <v>10</v>
      </c>
      <c r="O176" s="72" t="n">
        <f aca="false">O9+O19+O29+O39+O49+O59+O69+O79+O89+O99+O109+O119+O129+O139+O149</f>
        <v>10</v>
      </c>
      <c r="P176" s="72" t="n">
        <f aca="false">P9+P19+P29+P39+P49+P59+P69+P79+P89+P99+P109+P119+P129+P139+P149</f>
        <v>10</v>
      </c>
      <c r="Q176" s="72" t="n">
        <f aca="false">Q9+Q19+Q29+Q39+Q49+Q59+Q69+Q79+Q89+Q99+Q109+Q119+Q129+Q139+Q149</f>
        <v>10.25</v>
      </c>
      <c r="R176" s="72" t="n">
        <f aca="false">R9+R19+R29+R39+R49+R59+R69+R79+R89+R99+R109+R119+R129+R139+R149</f>
        <v>10.25</v>
      </c>
      <c r="S176" s="72" t="n">
        <f aca="false">S9+S19+S29+S39+S49+S59+S69+S79+S89+S99+S109+S119+S129+S139+S149</f>
        <v>10.4</v>
      </c>
      <c r="T176" s="72" t="n">
        <f aca="false">T9+T19+T29+T39+T49+T59+T69+T79+T89+T99+T109+T119+T129+T139+T149</f>
        <v>10.6</v>
      </c>
      <c r="U176" s="72" t="n">
        <f aca="false">U9+U19+U29+U39+U49+U59+U69+U79+U89+U99+U109+U119+U129+U139+U149</f>
        <v>10.6</v>
      </c>
      <c r="V176" s="72" t="n">
        <f aca="false">V9+V19+V29+V39+V49+V59+V69+V79+V89+V99+V109+V119+V129+V139+V149</f>
        <v>10.8</v>
      </c>
      <c r="W176" s="72" t="n">
        <f aca="false">W9+W19+W29+W39+W49+W59+W69+W79+W89+W99+W109+W119+W129+W139+W149</f>
        <v>10.6</v>
      </c>
      <c r="X176" s="72" t="n">
        <f aca="false">X9+X19+X29+X39+X49+X59+X69+X79+X89+X99+X109+X119+X129+X139+X149</f>
        <v>10.6</v>
      </c>
      <c r="Y176" s="72" t="n">
        <f aca="false">Y9+Y19+Y29+Y39+Y49+Y59+Y69+Y79+Y89+Y99+Y109+Y119+Y129+Y139+Y149</f>
        <v>10.6</v>
      </c>
      <c r="Z176" s="72" t="n">
        <f aca="false">Z9+Z19+Z29+Z39+Z49+Z59+Z69+Z79+Z89+Z99+Z109+Z119+Z129+Z139+Z149</f>
        <v>10.5</v>
      </c>
      <c r="AA176" s="72" t="n">
        <f aca="false">AA9+AA19+AA29+AA39+AA49+AA59+AA69+AA79+AA89+AA99+AA109+AA119+AA129+AA139+AA149</f>
        <v>10.5</v>
      </c>
      <c r="AB176" s="72" t="n">
        <f aca="false">AB9+AB19+AB29+AB39+AB49+AB59+AB69+AB79+AB89+AB99+AB109+AB119+AB129+AB139+AB149</f>
        <v>10.5</v>
      </c>
    </row>
    <row r="177" customFormat="false" ht="15" hidden="false" customHeight="false" outlineLevel="0" collapsed="false">
      <c r="A177" s="28" t="s">
        <v>901</v>
      </c>
      <c r="B177" s="58"/>
      <c r="C177" s="64" t="n">
        <f aca="false">IF(C172=0,0,C168/C172)</f>
        <v>92.1672833032588</v>
      </c>
      <c r="D177" s="64" t="n">
        <f aca="false">IF(D172=0,0,D168/D172)</f>
        <v>98.0561202144858</v>
      </c>
      <c r="E177" s="111" t="n">
        <f aca="false">IF(E172=0,0,E168/E172)</f>
        <v>88.6152632834797</v>
      </c>
      <c r="F177" s="111" t="n">
        <f aca="false">IF(F172=0,0,F168/F172)</f>
        <v>90.4947633693408</v>
      </c>
      <c r="G177" s="111" t="n">
        <f aca="false">IF(G172=0,0,G168/G172)</f>
        <v>89.5787776125824</v>
      </c>
      <c r="H177" s="111" t="n">
        <f aca="false">IF(H172=0,0,H168/H172)</f>
        <v>91.0402465611735</v>
      </c>
      <c r="I177" s="111" t="n">
        <f aca="false">IF(I172=0,0,I168/I172)</f>
        <v>90.8092035711139</v>
      </c>
      <c r="J177" s="111" t="n">
        <f aca="false">IF(J172=0,0,J168/J172)</f>
        <v>92.1737879250514</v>
      </c>
      <c r="K177" s="111" t="n">
        <f aca="false">IF(K172=0,0,K168/K172)</f>
        <v>91.2624091140687</v>
      </c>
      <c r="L177" s="111" t="n">
        <f aca="false">IF(L172=0,0,L168/L172)</f>
        <v>91.7341995220117</v>
      </c>
      <c r="M177" s="111" t="n">
        <f aca="false">IF(M172=0,0,M168/M172)</f>
        <v>94.3721319588749</v>
      </c>
      <c r="N177" s="111" t="n">
        <f aca="false">IF(N172=0,0,N168/N172)</f>
        <v>95.1563748748899</v>
      </c>
      <c r="O177" s="111" t="n">
        <f aca="false">IF(O172=0,0,O168/O172)</f>
        <v>95.1563748748899</v>
      </c>
      <c r="P177" s="111" t="n">
        <f aca="false">IF(P172=0,0,P168/P172)</f>
        <v>95.1563748748899</v>
      </c>
      <c r="Q177" s="111" t="n">
        <f aca="false">IF(Q172=0,0,Q168/Q172)</f>
        <v>96.6802292988109</v>
      </c>
      <c r="R177" s="111" t="n">
        <f aca="false">IF(R172=0,0,R168/R172)</f>
        <v>96.6802292988109</v>
      </c>
      <c r="S177" s="111" t="n">
        <f aca="false">IF(S172=0,0,S168/S172)</f>
        <v>97.0749519472393</v>
      </c>
      <c r="T177" s="111" t="n">
        <f aca="false">IF(T172=0,0,T168/T172)</f>
        <v>97.7125680926071</v>
      </c>
      <c r="U177" s="111" t="n">
        <f aca="false">IF(U172=0,0,U168/U172)</f>
        <v>97.7125680926071</v>
      </c>
      <c r="V177" s="111" t="n">
        <f aca="false">IF(V172=0,0,V168/V172)</f>
        <v>98.121269608469</v>
      </c>
      <c r="W177" s="111" t="n">
        <f aca="false">IF(W172=0,0,W168/W172)</f>
        <v>98.6095441542829</v>
      </c>
      <c r="X177" s="111" t="n">
        <f aca="false">IF(X172=0,0,X168/X172)</f>
        <v>98.6095441542829</v>
      </c>
      <c r="Y177" s="111" t="n">
        <f aca="false">IF(Y172=0,0,Y168/Y172)</f>
        <v>98.6095441542829</v>
      </c>
      <c r="Z177" s="111" t="n">
        <f aca="false">IF(Z172=0,0,Z168/Z172)</f>
        <v>98.9294969816369</v>
      </c>
      <c r="AA177" s="111" t="n">
        <f aca="false">IF(AA172=0,0,AA168/AA172)</f>
        <v>98.9294969816369</v>
      </c>
      <c r="AB177" s="111" t="n">
        <f aca="false">IF(AB172=0,0,AB168/AB172)</f>
        <v>98.9294969816369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1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902</v>
      </c>
    </row>
    <row r="3" customFormat="false" ht="15" hidden="false" customHeight="false" outlineLevel="0" collapsed="false">
      <c r="A3" s="49" t="s">
        <v>903</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904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905</v>
      </c>
      <c r="B9" s="58" t="s">
        <v>906</v>
      </c>
      <c r="E9" s="112" t="n">
        <f aca="false">MIN(1,MAX(0,(Assumptions!E$99-Project_Register!$T$7+1)/(Project_Register!$U$7-Project_Register!$T$7+1)))</f>
        <v>0.857142857142857</v>
      </c>
      <c r="F9" s="112" t="n">
        <f aca="false">MIN(1,MAX(0,(Assumptions!F$99-Project_Register!$T$7+1)/(Project_Register!$U$7-Project_Register!$T$7+1)))</f>
        <v>1</v>
      </c>
      <c r="G9" s="112" t="n">
        <f aca="false">MIN(1,MAX(0,(Assumptions!G$99-Project_Register!$T$7+1)/(Project_Register!$U$7-Project_Register!$T$7+1)))</f>
        <v>1</v>
      </c>
      <c r="H9" s="112" t="n">
        <f aca="false">MIN(1,MAX(0,(Assumptions!H$99-Project_Register!$T$7+1)/(Project_Register!$U$7-Project_Register!$T$7+1)))</f>
        <v>1</v>
      </c>
      <c r="I9" s="112" t="n">
        <f aca="false">MIN(1,MAX(0,(Assumptions!I$99-Project_Register!$T$7+1)/(Project_Register!$U$7-Project_Register!$T$7+1)))</f>
        <v>1</v>
      </c>
      <c r="J9" s="112" t="n">
        <f aca="false">MIN(1,MAX(0,(Assumptions!J$99-Project_Register!$T$7+1)/(Project_Register!$U$7-Project_Register!$T$7+1)))</f>
        <v>1</v>
      </c>
      <c r="K9" s="112" t="n">
        <f aca="false">MIN(1,MAX(0,(Assumptions!K$99-Project_Register!$T$7+1)/(Project_Register!$U$7-Project_Register!$T$7+1)))</f>
        <v>1</v>
      </c>
      <c r="L9" s="112" t="n">
        <f aca="false">MIN(1,MAX(0,(Assumptions!L$99-Project_Register!$T$7+1)/(Project_Register!$U$7-Project_Register!$T$7+1)))</f>
        <v>1</v>
      </c>
      <c r="M9" s="112" t="n">
        <f aca="false">MIN(1,MAX(0,(Assumptions!M$99-Project_Register!$T$7+1)/(Project_Register!$U$7-Project_Register!$T$7+1)))</f>
        <v>1</v>
      </c>
      <c r="N9" s="112" t="n">
        <f aca="false">MIN(1,MAX(0,(Assumptions!N$99-Project_Register!$T$7+1)/(Project_Register!$U$7-Project_Register!$T$7+1)))</f>
        <v>1</v>
      </c>
      <c r="O9" s="112" t="n">
        <f aca="false">MIN(1,MAX(0,(Assumptions!O$99-Project_Register!$T$7+1)/(Project_Register!$U$7-Project_Register!$T$7+1)))</f>
        <v>1</v>
      </c>
      <c r="P9" s="112" t="n">
        <f aca="false">MIN(1,MAX(0,(Assumptions!P$99-Project_Register!$T$7+1)/(Project_Register!$U$7-Project_Register!$T$7+1)))</f>
        <v>1</v>
      </c>
      <c r="Q9" s="112" t="n">
        <f aca="false">MIN(1,MAX(0,(Assumptions!Q$99-Project_Register!$T$7+1)/(Project_Register!$U$7-Project_Register!$T$7+1)))</f>
        <v>1</v>
      </c>
      <c r="R9" s="112" t="n">
        <f aca="false">MIN(1,MAX(0,(Assumptions!R$99-Project_Register!$T$7+1)/(Project_Register!$U$7-Project_Register!$T$7+1)))</f>
        <v>1</v>
      </c>
      <c r="S9" s="112" t="n">
        <f aca="false">MIN(1,MAX(0,(Assumptions!S$99-Project_Register!$T$7+1)/(Project_Register!$U$7-Project_Register!$T$7+1)))</f>
        <v>1</v>
      </c>
      <c r="T9" s="112" t="n">
        <f aca="false">MIN(1,MAX(0,(Assumptions!T$99-Project_Register!$T$7+1)/(Project_Register!$U$7-Project_Register!$T$7+1)))</f>
        <v>1</v>
      </c>
      <c r="U9" s="112" t="n">
        <f aca="false">MIN(1,MAX(0,(Assumptions!U$99-Project_Register!$T$7+1)/(Project_Register!$U$7-Project_Register!$T$7+1)))</f>
        <v>1</v>
      </c>
      <c r="V9" s="112" t="n">
        <f aca="false">MIN(1,MAX(0,(Assumptions!V$99-Project_Register!$T$7+1)/(Project_Register!$U$7-Project_Register!$T$7+1)))</f>
        <v>1</v>
      </c>
      <c r="W9" s="112" t="n">
        <f aca="false">MIN(1,MAX(0,(Assumptions!W$99-Project_Register!$T$7+1)/(Project_Register!$U$7-Project_Register!$T$7+1)))</f>
        <v>1</v>
      </c>
      <c r="X9" s="112" t="n">
        <f aca="false">MIN(1,MAX(0,(Assumptions!X$99-Project_Register!$T$7+1)/(Project_Register!$U$7-Project_Register!$T$7+1)))</f>
        <v>1</v>
      </c>
      <c r="Y9" s="112" t="n">
        <f aca="false">MIN(1,MAX(0,(Assumptions!Y$99-Project_Register!$T$7+1)/(Project_Register!$U$7-Project_Register!$T$7+1)))</f>
        <v>1</v>
      </c>
      <c r="Z9" s="112" t="n">
        <f aca="false">MIN(1,MAX(0,(Assumptions!Z$99-Project_Register!$T$7+1)/(Project_Register!$U$7-Project_Register!$T$7+1)))</f>
        <v>1</v>
      </c>
      <c r="AA9" s="112" t="n">
        <f aca="false">MIN(1,MAX(0,(Assumptions!AA$99-Project_Register!$T$7+1)/(Project_Register!$U$7-Project_Register!$T$7+1)))</f>
        <v>1</v>
      </c>
      <c r="AB9" s="112" t="n">
        <f aca="false">MIN(1,MAX(0,(Assumptions!AB$99-Project_Register!$T$7+1)/(Project_Register!$U$7-Project_Register!$T$7+1)))</f>
        <v>1</v>
      </c>
    </row>
    <row r="10" customFormat="false" ht="15" hidden="false" customHeight="false" outlineLevel="0" collapsed="false">
      <c r="A10" s="28" t="s">
        <v>907</v>
      </c>
      <c r="B10" s="58" t="s">
        <v>908</v>
      </c>
      <c r="E10" s="113" t="n">
        <f aca="false">3*E9^2-2*E9^3</f>
        <v>0.944606413994169</v>
      </c>
      <c r="F10" s="113" t="n">
        <f aca="false">3*F9^2-2*F9^3</f>
        <v>1</v>
      </c>
      <c r="G10" s="113" t="n">
        <f aca="false">3*G9^2-2*G9^3</f>
        <v>1</v>
      </c>
      <c r="H10" s="113" t="n">
        <f aca="false">3*H9^2-2*H9^3</f>
        <v>1</v>
      </c>
      <c r="I10" s="113" t="n">
        <f aca="false">3*I9^2-2*I9^3</f>
        <v>1</v>
      </c>
      <c r="J10" s="113" t="n">
        <f aca="false">3*J9^2-2*J9^3</f>
        <v>1</v>
      </c>
      <c r="K10" s="113" t="n">
        <f aca="false">3*K9^2-2*K9^3</f>
        <v>1</v>
      </c>
      <c r="L10" s="113" t="n">
        <f aca="false">3*L9^2-2*L9^3</f>
        <v>1</v>
      </c>
      <c r="M10" s="113" t="n">
        <f aca="false">3*M9^2-2*M9^3</f>
        <v>1</v>
      </c>
      <c r="N10" s="113" t="n">
        <f aca="false">3*N9^2-2*N9^3</f>
        <v>1</v>
      </c>
      <c r="O10" s="113" t="n">
        <f aca="false">3*O9^2-2*O9^3</f>
        <v>1</v>
      </c>
      <c r="P10" s="113" t="n">
        <f aca="false">3*P9^2-2*P9^3</f>
        <v>1</v>
      </c>
      <c r="Q10" s="113" t="n">
        <f aca="false">3*Q9^2-2*Q9^3</f>
        <v>1</v>
      </c>
      <c r="R10" s="113" t="n">
        <f aca="false">3*R9^2-2*R9^3</f>
        <v>1</v>
      </c>
      <c r="S10" s="113" t="n">
        <f aca="false">3*S9^2-2*S9^3</f>
        <v>1</v>
      </c>
      <c r="T10" s="113" t="n">
        <f aca="false">3*T9^2-2*T9^3</f>
        <v>1</v>
      </c>
      <c r="U10" s="113" t="n">
        <f aca="false">3*U9^2-2*U9^3</f>
        <v>1</v>
      </c>
      <c r="V10" s="113" t="n">
        <f aca="false">3*V9^2-2*V9^3</f>
        <v>1</v>
      </c>
      <c r="W10" s="113" t="n">
        <f aca="false">3*W9^2-2*W9^3</f>
        <v>1</v>
      </c>
      <c r="X10" s="113" t="n">
        <f aca="false">3*X9^2-2*X9^3</f>
        <v>1</v>
      </c>
      <c r="Y10" s="113" t="n">
        <f aca="false">3*Y9^2-2*Y9^3</f>
        <v>1</v>
      </c>
      <c r="Z10" s="113" t="n">
        <f aca="false">3*Z9^2-2*Z9^3</f>
        <v>1</v>
      </c>
      <c r="AA10" s="113" t="n">
        <f aca="false">3*AA9^2-2*AA9^3</f>
        <v>1</v>
      </c>
      <c r="AB10" s="113" t="n">
        <f aca="false">3*AB9^2-2*AB9^3</f>
        <v>1</v>
      </c>
    </row>
    <row r="11" customFormat="false" ht="15" hidden="false" customHeight="false" outlineLevel="0" collapsed="false">
      <c r="A11" s="28" t="s">
        <v>909</v>
      </c>
      <c r="B11" s="58"/>
      <c r="E11" s="112" t="n">
        <f aca="false">3*MIN(1,MAX(0,(Assumptions!E$99-Project_Register!$T$7)/(Project_Register!$U$7-Project_Register!$T$7+1)))^2-2*MIN(1,MAX(0,(Assumptions!E$99-Project_Register!$T$7)/(Project_Register!$U$7-Project_Register!$T$7+1)))^3</f>
        <v>0.801749271137026</v>
      </c>
      <c r="F11" s="112" t="n">
        <f aca="false">3*MIN(1,MAX(0,(Assumptions!F$99-Project_Register!$T$7)/(Project_Register!$U$7-Project_Register!$T$7+1)))^2-2*MIN(1,MAX(0,(Assumptions!F$99-Project_Register!$T$7)/(Project_Register!$U$7-Project_Register!$T$7+1)))^3</f>
        <v>0.944606413994169</v>
      </c>
      <c r="G11" s="112" t="n">
        <f aca="false">3*MIN(1,MAX(0,(Assumptions!G$99-Project_Register!$T$7)/(Project_Register!$U$7-Project_Register!$T$7+1)))^2-2*MIN(1,MAX(0,(Assumptions!G$99-Project_Register!$T$7)/(Project_Register!$U$7-Project_Register!$T$7+1)))^3</f>
        <v>1</v>
      </c>
      <c r="H11" s="112" t="n">
        <f aca="false">3*MIN(1,MAX(0,(Assumptions!H$99-Project_Register!$T$7)/(Project_Register!$U$7-Project_Register!$T$7+1)))^2-2*MIN(1,MAX(0,(Assumptions!H$99-Project_Register!$T$7)/(Project_Register!$U$7-Project_Register!$T$7+1)))^3</f>
        <v>1</v>
      </c>
      <c r="I11" s="112" t="n">
        <f aca="false">3*MIN(1,MAX(0,(Assumptions!I$99-Project_Register!$T$7)/(Project_Register!$U$7-Project_Register!$T$7+1)))^2-2*MIN(1,MAX(0,(Assumptions!I$99-Project_Register!$T$7)/(Project_Register!$U$7-Project_Register!$T$7+1)))^3</f>
        <v>1</v>
      </c>
      <c r="J11" s="112" t="n">
        <f aca="false">3*MIN(1,MAX(0,(Assumptions!J$99-Project_Register!$T$7)/(Project_Register!$U$7-Project_Register!$T$7+1)))^2-2*MIN(1,MAX(0,(Assumptions!J$99-Project_Register!$T$7)/(Project_Register!$U$7-Project_Register!$T$7+1)))^3</f>
        <v>1</v>
      </c>
      <c r="K11" s="112" t="n">
        <f aca="false">3*MIN(1,MAX(0,(Assumptions!K$99-Project_Register!$T$7)/(Project_Register!$U$7-Project_Register!$T$7+1)))^2-2*MIN(1,MAX(0,(Assumptions!K$99-Project_Register!$T$7)/(Project_Register!$U$7-Project_Register!$T$7+1)))^3</f>
        <v>1</v>
      </c>
      <c r="L11" s="112" t="n">
        <f aca="false">3*MIN(1,MAX(0,(Assumptions!L$99-Project_Register!$T$7)/(Project_Register!$U$7-Project_Register!$T$7+1)))^2-2*MIN(1,MAX(0,(Assumptions!L$99-Project_Register!$T$7)/(Project_Register!$U$7-Project_Register!$T$7+1)))^3</f>
        <v>1</v>
      </c>
      <c r="M11" s="112" t="n">
        <f aca="false">3*MIN(1,MAX(0,(Assumptions!M$99-Project_Register!$T$7)/(Project_Register!$U$7-Project_Register!$T$7+1)))^2-2*MIN(1,MAX(0,(Assumptions!M$99-Project_Register!$T$7)/(Project_Register!$U$7-Project_Register!$T$7+1)))^3</f>
        <v>1</v>
      </c>
      <c r="N11" s="112" t="n">
        <f aca="false">3*MIN(1,MAX(0,(Assumptions!N$99-Project_Register!$T$7)/(Project_Register!$U$7-Project_Register!$T$7+1)))^2-2*MIN(1,MAX(0,(Assumptions!N$99-Project_Register!$T$7)/(Project_Register!$U$7-Project_Register!$T$7+1)))^3</f>
        <v>1</v>
      </c>
      <c r="O11" s="112" t="n">
        <f aca="false">3*MIN(1,MAX(0,(Assumptions!O$99-Project_Register!$T$7)/(Project_Register!$U$7-Project_Register!$T$7+1)))^2-2*MIN(1,MAX(0,(Assumptions!O$99-Project_Register!$T$7)/(Project_Register!$U$7-Project_Register!$T$7+1)))^3</f>
        <v>1</v>
      </c>
      <c r="P11" s="112" t="n">
        <f aca="false">3*MIN(1,MAX(0,(Assumptions!P$99-Project_Register!$T$7)/(Project_Register!$U$7-Project_Register!$T$7+1)))^2-2*MIN(1,MAX(0,(Assumptions!P$99-Project_Register!$T$7)/(Project_Register!$U$7-Project_Register!$T$7+1)))^3</f>
        <v>1</v>
      </c>
      <c r="Q11" s="112" t="n">
        <f aca="false">3*MIN(1,MAX(0,(Assumptions!Q$99-Project_Register!$T$7)/(Project_Register!$U$7-Project_Register!$T$7+1)))^2-2*MIN(1,MAX(0,(Assumptions!Q$99-Project_Register!$T$7)/(Project_Register!$U$7-Project_Register!$T$7+1)))^3</f>
        <v>1</v>
      </c>
      <c r="R11" s="112" t="n">
        <f aca="false">3*MIN(1,MAX(0,(Assumptions!R$99-Project_Register!$T$7)/(Project_Register!$U$7-Project_Register!$T$7+1)))^2-2*MIN(1,MAX(0,(Assumptions!R$99-Project_Register!$T$7)/(Project_Register!$U$7-Project_Register!$T$7+1)))^3</f>
        <v>1</v>
      </c>
      <c r="S11" s="112" t="n">
        <f aca="false">3*MIN(1,MAX(0,(Assumptions!S$99-Project_Register!$T$7)/(Project_Register!$U$7-Project_Register!$T$7+1)))^2-2*MIN(1,MAX(0,(Assumptions!S$99-Project_Register!$T$7)/(Project_Register!$U$7-Project_Register!$T$7+1)))^3</f>
        <v>1</v>
      </c>
      <c r="T11" s="112" t="n">
        <f aca="false">3*MIN(1,MAX(0,(Assumptions!T$99-Project_Register!$T$7)/(Project_Register!$U$7-Project_Register!$T$7+1)))^2-2*MIN(1,MAX(0,(Assumptions!T$99-Project_Register!$T$7)/(Project_Register!$U$7-Project_Register!$T$7+1)))^3</f>
        <v>1</v>
      </c>
      <c r="U11" s="112" t="n">
        <f aca="false">3*MIN(1,MAX(0,(Assumptions!U$99-Project_Register!$T$7)/(Project_Register!$U$7-Project_Register!$T$7+1)))^2-2*MIN(1,MAX(0,(Assumptions!U$99-Project_Register!$T$7)/(Project_Register!$U$7-Project_Register!$T$7+1)))^3</f>
        <v>1</v>
      </c>
      <c r="V11" s="112" t="n">
        <f aca="false">3*MIN(1,MAX(0,(Assumptions!V$99-Project_Register!$T$7)/(Project_Register!$U$7-Project_Register!$T$7+1)))^2-2*MIN(1,MAX(0,(Assumptions!V$99-Project_Register!$T$7)/(Project_Register!$U$7-Project_Register!$T$7+1)))^3</f>
        <v>1</v>
      </c>
      <c r="W11" s="112" t="n">
        <f aca="false">3*MIN(1,MAX(0,(Assumptions!W$99-Project_Register!$T$7)/(Project_Register!$U$7-Project_Register!$T$7+1)))^2-2*MIN(1,MAX(0,(Assumptions!W$99-Project_Register!$T$7)/(Project_Register!$U$7-Project_Register!$T$7+1)))^3</f>
        <v>1</v>
      </c>
      <c r="X11" s="112" t="n">
        <f aca="false">3*MIN(1,MAX(0,(Assumptions!X$99-Project_Register!$T$7)/(Project_Register!$U$7-Project_Register!$T$7+1)))^2-2*MIN(1,MAX(0,(Assumptions!X$99-Project_Register!$T$7)/(Project_Register!$U$7-Project_Register!$T$7+1)))^3</f>
        <v>1</v>
      </c>
      <c r="Y11" s="112" t="n">
        <f aca="false">3*MIN(1,MAX(0,(Assumptions!Y$99-Project_Register!$T$7)/(Project_Register!$U$7-Project_Register!$T$7+1)))^2-2*MIN(1,MAX(0,(Assumptions!Y$99-Project_Register!$T$7)/(Project_Register!$U$7-Project_Register!$T$7+1)))^3</f>
        <v>1</v>
      </c>
      <c r="Z11" s="112" t="n">
        <f aca="false">3*MIN(1,MAX(0,(Assumptions!Z$99-Project_Register!$T$7)/(Project_Register!$U$7-Project_Register!$T$7+1)))^2-2*MIN(1,MAX(0,(Assumptions!Z$99-Project_Register!$T$7)/(Project_Register!$U$7-Project_Register!$T$7+1)))^3</f>
        <v>1</v>
      </c>
      <c r="AA11" s="112" t="n">
        <f aca="false">3*MIN(1,MAX(0,(Assumptions!AA$99-Project_Register!$T$7)/(Project_Register!$U$7-Project_Register!$T$7+1)))^2-2*MIN(1,MAX(0,(Assumptions!AA$99-Project_Register!$T$7)/(Project_Register!$U$7-Project_Register!$T$7+1)))^3</f>
        <v>1</v>
      </c>
      <c r="AB11" s="112" t="n">
        <f aca="false">3*MIN(1,MAX(0,(Assumptions!AB$99-Project_Register!$T$7)/(Project_Register!$U$7-Project_Register!$T$7+1)))^2-2*MIN(1,MAX(0,(Assumptions!AB$99-Project_Register!$T$7)/(Project_Register!$U$7-Project_Register!$T$7+1)))^3</f>
        <v>1</v>
      </c>
    </row>
    <row r="12" customFormat="false" ht="15" hidden="false" customHeight="false" outlineLevel="0" collapsed="false">
      <c r="A12" s="28" t="s">
        <v>802</v>
      </c>
      <c r="B12" s="58" t="s">
        <v>910</v>
      </c>
      <c r="C12" s="66" t="n">
        <f aca="false">SUM(E12:P12)</f>
        <v>185</v>
      </c>
      <c r="D12" s="66" t="n">
        <f aca="false">SUM(Q12:AB12)</f>
        <v>0</v>
      </c>
      <c r="E12" s="67" t="n">
        <f aca="false">IF(E$5="A",Inputs_Actuals!E48,IF((Project_Register!$AA$7-Project_Register!$X$7)&lt;=0,0,IF(1-Project_Register!$AC$7&lt;=0.000001,IF(Assumptions!E$99=Assumptions!$C$10+1,(Project_Register!$AA$7-Project_Register!$X$7),0),(Project_Register!$AA$7-Project_Register!$X$7)*(E10-E11)/(1-Project_Register!$AC$7))))</f>
        <v>133.4</v>
      </c>
      <c r="F12" s="67" t="n">
        <f aca="false">IF(F$5="A",Inputs_Actuals!F48,IF((Project_Register!$AA$7-Project_Register!$X$7)&lt;=0,0,IF(1-Project_Register!$AC$7&lt;=0.000001,IF(Assumptions!F$99=Assumptions!$C$10+1,(Project_Register!$AA$7-Project_Register!$X$7),0),(Project_Register!$AA$7-Project_Register!$X$7)*(F10-F11)/(1-Project_Register!$AC$7))))</f>
        <v>51.6</v>
      </c>
      <c r="G12" s="67" t="n">
        <f aca="false">IF(G$5="A",Inputs_Actuals!G48,IF((Project_Register!$AA$7-Project_Register!$X$7)&lt;=0,0,IF(1-Project_Register!$AC$7&lt;=0.000001,IF(Assumptions!G$99=Assumptions!$C$10+1,(Project_Register!$AA$7-Project_Register!$X$7),0),(Project_Register!$AA$7-Project_Register!$X$7)*(G10-G11)/(1-Project_Register!$AC$7))))</f>
        <v>0</v>
      </c>
      <c r="H12" s="67" t="n">
        <f aca="false">IF(H$5="A",Inputs_Actuals!H48,IF((Project_Register!$AA$7-Project_Register!$X$7)&lt;=0,0,IF(1-Project_Register!$AC$7&lt;=0.000001,IF(Assumptions!H$99=Assumptions!$C$10+1,(Project_Register!$AA$7-Project_Register!$X$7),0),(Project_Register!$AA$7-Project_Register!$X$7)*(H10-H11)/(1-Project_Register!$AC$7))))</f>
        <v>0</v>
      </c>
      <c r="I12" s="67" t="n">
        <f aca="false">IF(I$5="A",Inputs_Actuals!I48,IF((Project_Register!$AA$7-Project_Register!$X$7)&lt;=0,0,IF(1-Project_Register!$AC$7&lt;=0.000001,IF(Assumptions!I$99=Assumptions!$C$10+1,(Project_Register!$AA$7-Project_Register!$X$7),0),(Project_Register!$AA$7-Project_Register!$X$7)*(I10-I11)/(1-Project_Register!$AC$7))))</f>
        <v>0</v>
      </c>
      <c r="J12" s="67" t="n">
        <f aca="false">IF(J$5="A",Inputs_Actuals!J48,IF((Project_Register!$AA$7-Project_Register!$X$7)&lt;=0,0,IF(1-Project_Register!$AC$7&lt;=0.000001,IF(Assumptions!J$99=Assumptions!$C$10+1,(Project_Register!$AA$7-Project_Register!$X$7),0),(Project_Register!$AA$7-Project_Register!$X$7)*(J10-J11)/(1-Project_Register!$AC$7))))</f>
        <v>0</v>
      </c>
      <c r="K12" s="67" t="n">
        <f aca="false">IF(K$5="A",Inputs_Actuals!K48,IF((Project_Register!$AA$7-Project_Register!$X$7)&lt;=0,0,IF(1-Project_Register!$AC$7&lt;=0.000001,IF(Assumptions!K$99=Assumptions!$C$10+1,(Project_Register!$AA$7-Project_Register!$X$7),0),(Project_Register!$AA$7-Project_Register!$X$7)*(K10-K11)/(1-Project_Register!$AC$7))))</f>
        <v>0</v>
      </c>
      <c r="L12" s="67" t="n">
        <f aca="false">IF(L$5="A",Inputs_Actuals!L48,IF((Project_Register!$AA$7-Project_Register!$X$7)&lt;=0,0,IF(1-Project_Register!$AC$7&lt;=0.000001,IF(Assumptions!L$99=Assumptions!$C$10+1,(Project_Register!$AA$7-Project_Register!$X$7),0),(Project_Register!$AA$7-Project_Register!$X$7)*(L10-L11)/(1-Project_Register!$AC$7))))</f>
        <v>0</v>
      </c>
      <c r="M12" s="67" t="n">
        <f aca="false">IF(M$5="A",Inputs_Actuals!M48,IF((Project_Register!$AA$7-Project_Register!$X$7)&lt;=0,0,IF(1-Project_Register!$AC$7&lt;=0.000001,IF(Assumptions!M$99=Assumptions!$C$10+1,(Project_Register!$AA$7-Project_Register!$X$7),0),(Project_Register!$AA$7-Project_Register!$X$7)*(M10-M11)/(1-Project_Register!$AC$7))))</f>
        <v>0</v>
      </c>
      <c r="N12" s="67" t="n">
        <f aca="false">IF(N$5="A",Inputs_Actuals!N48,IF((Project_Register!$AA$7-Project_Register!$X$7)&lt;=0,0,IF(1-Project_Register!$AC$7&lt;=0.000001,IF(Assumptions!N$99=Assumptions!$C$10+1,(Project_Register!$AA$7-Project_Register!$X$7),0),(Project_Register!$AA$7-Project_Register!$X$7)*(N10-N11)/(1-Project_Register!$AC$7))))</f>
        <v>0</v>
      </c>
      <c r="O12" s="67" t="n">
        <f aca="false">IF(O$5="A",Inputs_Actuals!O48,IF((Project_Register!$AA$7-Project_Register!$X$7)&lt;=0,0,IF(1-Project_Register!$AC$7&lt;=0.000001,IF(Assumptions!O$99=Assumptions!$C$10+1,(Project_Register!$AA$7-Project_Register!$X$7),0),(Project_Register!$AA$7-Project_Register!$X$7)*(O10-O11)/(1-Project_Register!$AC$7))))</f>
        <v>0</v>
      </c>
      <c r="P12" s="67" t="n">
        <f aca="false">IF(P$5="A",Inputs_Actuals!P48,IF((Project_Register!$AA$7-Project_Register!$X$7)&lt;=0,0,IF(1-Project_Register!$AC$7&lt;=0.000001,IF(Assumptions!P$99=Assumptions!$C$10+1,(Project_Register!$AA$7-Project_Register!$X$7),0),(Project_Register!$AA$7-Project_Register!$X$7)*(P10-P11)/(1-Project_Register!$AC$7))))</f>
        <v>0</v>
      </c>
      <c r="Q12" s="67" t="n">
        <f aca="false">IF(Q$5="A",Inputs_Actuals!Q48,IF((Project_Register!$AA$7-Project_Register!$X$7)&lt;=0,0,IF(1-Project_Register!$AC$7&lt;=0.000001,IF(Assumptions!Q$99=Assumptions!$C$10+1,(Project_Register!$AA$7-Project_Register!$X$7),0),(Project_Register!$AA$7-Project_Register!$X$7)*(Q10-Q11)/(1-Project_Register!$AC$7))))</f>
        <v>0</v>
      </c>
      <c r="R12" s="67" t="n">
        <f aca="false">IF(R$5="A",Inputs_Actuals!R48,IF((Project_Register!$AA$7-Project_Register!$X$7)&lt;=0,0,IF(1-Project_Register!$AC$7&lt;=0.000001,IF(Assumptions!R$99=Assumptions!$C$10+1,(Project_Register!$AA$7-Project_Register!$X$7),0),(Project_Register!$AA$7-Project_Register!$X$7)*(R10-R11)/(1-Project_Register!$AC$7))))</f>
        <v>0</v>
      </c>
      <c r="S12" s="67" t="n">
        <f aca="false">IF(S$5="A",Inputs_Actuals!S48,IF((Project_Register!$AA$7-Project_Register!$X$7)&lt;=0,0,IF(1-Project_Register!$AC$7&lt;=0.000001,IF(Assumptions!S$99=Assumptions!$C$10+1,(Project_Register!$AA$7-Project_Register!$X$7),0),(Project_Register!$AA$7-Project_Register!$X$7)*(S10-S11)/(1-Project_Register!$AC$7))))</f>
        <v>0</v>
      </c>
      <c r="T12" s="67" t="n">
        <f aca="false">IF(T$5="A",Inputs_Actuals!T48,IF((Project_Register!$AA$7-Project_Register!$X$7)&lt;=0,0,IF(1-Project_Register!$AC$7&lt;=0.000001,IF(Assumptions!T$99=Assumptions!$C$10+1,(Project_Register!$AA$7-Project_Register!$X$7),0),(Project_Register!$AA$7-Project_Register!$X$7)*(T10-T11)/(1-Project_Register!$AC$7))))</f>
        <v>0</v>
      </c>
      <c r="U12" s="67" t="n">
        <f aca="false">IF(U$5="A",Inputs_Actuals!U48,IF((Project_Register!$AA$7-Project_Register!$X$7)&lt;=0,0,IF(1-Project_Register!$AC$7&lt;=0.000001,IF(Assumptions!U$99=Assumptions!$C$10+1,(Project_Register!$AA$7-Project_Register!$X$7),0),(Project_Register!$AA$7-Project_Register!$X$7)*(U10-U11)/(1-Project_Register!$AC$7))))</f>
        <v>0</v>
      </c>
      <c r="V12" s="67" t="n">
        <f aca="false">IF(V$5="A",Inputs_Actuals!V48,IF((Project_Register!$AA$7-Project_Register!$X$7)&lt;=0,0,IF(1-Project_Register!$AC$7&lt;=0.000001,IF(Assumptions!V$99=Assumptions!$C$10+1,(Project_Register!$AA$7-Project_Register!$X$7),0),(Project_Register!$AA$7-Project_Register!$X$7)*(V10-V11)/(1-Project_Register!$AC$7))))</f>
        <v>0</v>
      </c>
      <c r="W12" s="67" t="n">
        <f aca="false">IF(W$5="A",Inputs_Actuals!W48,IF((Project_Register!$AA$7-Project_Register!$X$7)&lt;=0,0,IF(1-Project_Register!$AC$7&lt;=0.000001,IF(Assumptions!W$99=Assumptions!$C$10+1,(Project_Register!$AA$7-Project_Register!$X$7),0),(Project_Register!$AA$7-Project_Register!$X$7)*(W10-W11)/(1-Project_Register!$AC$7))))</f>
        <v>0</v>
      </c>
      <c r="X12" s="67" t="n">
        <f aca="false">IF(X$5="A",Inputs_Actuals!X48,IF((Project_Register!$AA$7-Project_Register!$X$7)&lt;=0,0,IF(1-Project_Register!$AC$7&lt;=0.000001,IF(Assumptions!X$99=Assumptions!$C$10+1,(Project_Register!$AA$7-Project_Register!$X$7),0),(Project_Register!$AA$7-Project_Register!$X$7)*(X10-X11)/(1-Project_Register!$AC$7))))</f>
        <v>0</v>
      </c>
      <c r="Y12" s="67" t="n">
        <f aca="false">IF(Y$5="A",Inputs_Actuals!Y48,IF((Project_Register!$AA$7-Project_Register!$X$7)&lt;=0,0,IF(1-Project_Register!$AC$7&lt;=0.000001,IF(Assumptions!Y$99=Assumptions!$C$10+1,(Project_Register!$AA$7-Project_Register!$X$7),0),(Project_Register!$AA$7-Project_Register!$X$7)*(Y10-Y11)/(1-Project_Register!$AC$7))))</f>
        <v>0</v>
      </c>
      <c r="Z12" s="67" t="n">
        <f aca="false">IF(Z$5="A",Inputs_Actuals!Z48,IF((Project_Register!$AA$7-Project_Register!$X$7)&lt;=0,0,IF(1-Project_Register!$AC$7&lt;=0.000001,IF(Assumptions!Z$99=Assumptions!$C$10+1,(Project_Register!$AA$7-Project_Register!$X$7),0),(Project_Register!$AA$7-Project_Register!$X$7)*(Z10-Z11)/(1-Project_Register!$AC$7))))</f>
        <v>0</v>
      </c>
      <c r="AA12" s="67" t="n">
        <f aca="false">IF(AA$5="A",Inputs_Actuals!AA48,IF((Project_Register!$AA$7-Project_Register!$X$7)&lt;=0,0,IF(1-Project_Register!$AC$7&lt;=0.000001,IF(Assumptions!AA$99=Assumptions!$C$10+1,(Project_Register!$AA$7-Project_Register!$X$7),0),(Project_Register!$AA$7-Project_Register!$X$7)*(AA10-AA11)/(1-Project_Register!$AC$7))))</f>
        <v>0</v>
      </c>
      <c r="AB12" s="67" t="n">
        <f aca="false">IF(AB$5="A",Inputs_Actuals!AB48,IF((Project_Register!$AA$7-Project_Register!$X$7)&lt;=0,0,IF(1-Project_Register!$AC$7&lt;=0.000001,IF(Assumptions!AB$99=Assumptions!$C$10+1,(Project_Register!$AA$7-Project_Register!$X$7),0),(Project_Register!$AA$7-Project_Register!$X$7)*(AB10-AB11)/(1-Project_Register!$AC$7))))</f>
        <v>0</v>
      </c>
    </row>
    <row r="13" customFormat="false" ht="15" hidden="false" customHeight="false" outlineLevel="0" collapsed="false">
      <c r="A13" s="28" t="s">
        <v>911</v>
      </c>
      <c r="B13" s="58" t="s">
        <v>912</v>
      </c>
      <c r="C13" s="66" t="n">
        <f aca="false">P13</f>
        <v>790</v>
      </c>
      <c r="D13" s="66" t="n">
        <f aca="false">AB13</f>
        <v>790</v>
      </c>
      <c r="E13" s="67" t="n">
        <f aca="false">Project_Register!$P$7+E12</f>
        <v>738.4</v>
      </c>
      <c r="F13" s="72" t="n">
        <f aca="false">E13+F12</f>
        <v>790</v>
      </c>
      <c r="G13" s="72" t="n">
        <f aca="false">F13+G12</f>
        <v>790</v>
      </c>
      <c r="H13" s="72" t="n">
        <f aca="false">G13+H12</f>
        <v>790</v>
      </c>
      <c r="I13" s="72" t="n">
        <f aca="false">H13+I12</f>
        <v>790</v>
      </c>
      <c r="J13" s="72" t="n">
        <f aca="false">I13+J12</f>
        <v>790</v>
      </c>
      <c r="K13" s="72" t="n">
        <f aca="false">J13+K12</f>
        <v>790</v>
      </c>
      <c r="L13" s="72" t="n">
        <f aca="false">K13+L12</f>
        <v>790</v>
      </c>
      <c r="M13" s="72" t="n">
        <f aca="false">L13+M12</f>
        <v>790</v>
      </c>
      <c r="N13" s="72" t="n">
        <f aca="false">M13+N12</f>
        <v>790</v>
      </c>
      <c r="O13" s="72" t="n">
        <f aca="false">N13+O12</f>
        <v>790</v>
      </c>
      <c r="P13" s="72" t="n">
        <f aca="false">O13+P12</f>
        <v>790</v>
      </c>
      <c r="Q13" s="72" t="n">
        <f aca="false">P13+Q12</f>
        <v>790</v>
      </c>
      <c r="R13" s="72" t="n">
        <f aca="false">Q13+R12</f>
        <v>790</v>
      </c>
      <c r="S13" s="72" t="n">
        <f aca="false">R13+S12</f>
        <v>790</v>
      </c>
      <c r="T13" s="72" t="n">
        <f aca="false">S13+T12</f>
        <v>790</v>
      </c>
      <c r="U13" s="72" t="n">
        <f aca="false">T13+U12</f>
        <v>790</v>
      </c>
      <c r="V13" s="72" t="n">
        <f aca="false">U13+V12</f>
        <v>790</v>
      </c>
      <c r="W13" s="72" t="n">
        <f aca="false">V13+W12</f>
        <v>790</v>
      </c>
      <c r="X13" s="72" t="n">
        <f aca="false">W13+X12</f>
        <v>790</v>
      </c>
      <c r="Y13" s="72" t="n">
        <f aca="false">X13+Y12</f>
        <v>790</v>
      </c>
      <c r="Z13" s="72" t="n">
        <f aca="false">Y13+Z12</f>
        <v>790</v>
      </c>
      <c r="AA13" s="72" t="n">
        <f aca="false">Z13+AA12</f>
        <v>790</v>
      </c>
      <c r="AB13" s="72" t="n">
        <f aca="false">AA13+AB12</f>
        <v>790</v>
      </c>
    </row>
    <row r="14" customFormat="false" ht="15" hidden="false" customHeight="false" outlineLevel="0" collapsed="false">
      <c r="A14" s="28" t="s">
        <v>913</v>
      </c>
      <c r="B14" s="58" t="s">
        <v>914</v>
      </c>
      <c r="C14" s="66" t="n">
        <f aca="false">P14</f>
        <v>790</v>
      </c>
      <c r="D14" s="66" t="n">
        <f aca="false">AB14</f>
        <v>790</v>
      </c>
      <c r="E14" s="67" t="n">
        <f aca="false">IF(E$5="A",IF(E13+N(Inputs_Actuals!E49)&lt;=0,Project_Register!$AA$7,E13+N(Inputs_Actuals!E49)),Project_Register!$AA$7)</f>
        <v>790</v>
      </c>
      <c r="F14" s="67" t="n">
        <f aca="false">IF(F$5="A",IF(F13+N(Inputs_Actuals!F49)&lt;=0,Project_Register!$AA$7,F13+N(Inputs_Actuals!F49)),Project_Register!$AA$7)</f>
        <v>790</v>
      </c>
      <c r="G14" s="67" t="n">
        <f aca="false">IF(G$5="A",IF(G13+N(Inputs_Actuals!G49)&lt;=0,Project_Register!$AA$7,G13+N(Inputs_Actuals!G49)),Project_Register!$AA$7)</f>
        <v>790</v>
      </c>
      <c r="H14" s="67" t="n">
        <f aca="false">IF(H$5="A",IF(H13+N(Inputs_Actuals!H49)&lt;=0,Project_Register!$AA$7,H13+N(Inputs_Actuals!H49)),Project_Register!$AA$7)</f>
        <v>790</v>
      </c>
      <c r="I14" s="67" t="n">
        <f aca="false">IF(I$5="A",IF(I13+N(Inputs_Actuals!I49)&lt;=0,Project_Register!$AA$7,I13+N(Inputs_Actuals!I49)),Project_Register!$AA$7)</f>
        <v>790</v>
      </c>
      <c r="J14" s="67" t="n">
        <f aca="false">IF(J$5="A",IF(J13+N(Inputs_Actuals!J49)&lt;=0,Project_Register!$AA$7,J13+N(Inputs_Actuals!J49)),Project_Register!$AA$7)</f>
        <v>790</v>
      </c>
      <c r="K14" s="67" t="n">
        <f aca="false">IF(K$5="A",IF(K13+N(Inputs_Actuals!K49)&lt;=0,Project_Register!$AA$7,K13+N(Inputs_Actuals!K49)),Project_Register!$AA$7)</f>
        <v>790</v>
      </c>
      <c r="L14" s="67" t="n">
        <f aca="false">IF(L$5="A",IF(L13+N(Inputs_Actuals!L49)&lt;=0,Project_Register!$AA$7,L13+N(Inputs_Actuals!L49)),Project_Register!$AA$7)</f>
        <v>790</v>
      </c>
      <c r="M14" s="67" t="n">
        <f aca="false">IF(M$5="A",IF(M13+N(Inputs_Actuals!M49)&lt;=0,Project_Register!$AA$7,M13+N(Inputs_Actuals!M49)),Project_Register!$AA$7)</f>
        <v>790</v>
      </c>
      <c r="N14" s="67" t="n">
        <f aca="false">IF(N$5="A",IF(N13+N(Inputs_Actuals!N49)&lt;=0,Project_Register!$AA$7,N13+N(Inputs_Actuals!N49)),Project_Register!$AA$7)</f>
        <v>790</v>
      </c>
      <c r="O14" s="67" t="n">
        <f aca="false">IF(O$5="A",IF(O13+N(Inputs_Actuals!O49)&lt;=0,Project_Register!$AA$7,O13+N(Inputs_Actuals!O49)),Project_Register!$AA$7)</f>
        <v>790</v>
      </c>
      <c r="P14" s="67" t="n">
        <f aca="false">IF(P$5="A",IF(P13+N(Inputs_Actuals!P49)&lt;=0,Project_Register!$AA$7,P13+N(Inputs_Actuals!P49)),Project_Register!$AA$7)</f>
        <v>790</v>
      </c>
      <c r="Q14" s="67" t="n">
        <f aca="false">IF(Q$5="A",IF(Q13+N(Inputs_Actuals!Q49)&lt;=0,Project_Register!$AA$7,Q13+N(Inputs_Actuals!Q49)),Project_Register!$AA$7)</f>
        <v>790</v>
      </c>
      <c r="R14" s="67" t="n">
        <f aca="false">IF(R$5="A",IF(R13+N(Inputs_Actuals!R49)&lt;=0,Project_Register!$AA$7,R13+N(Inputs_Actuals!R49)),Project_Register!$AA$7)</f>
        <v>790</v>
      </c>
      <c r="S14" s="67" t="n">
        <f aca="false">IF(S$5="A",IF(S13+N(Inputs_Actuals!S49)&lt;=0,Project_Register!$AA$7,S13+N(Inputs_Actuals!S49)),Project_Register!$AA$7)</f>
        <v>790</v>
      </c>
      <c r="T14" s="67" t="n">
        <f aca="false">IF(T$5="A",IF(T13+N(Inputs_Actuals!T49)&lt;=0,Project_Register!$AA$7,T13+N(Inputs_Actuals!T49)),Project_Register!$AA$7)</f>
        <v>790</v>
      </c>
      <c r="U14" s="67" t="n">
        <f aca="false">IF(U$5="A",IF(U13+N(Inputs_Actuals!U49)&lt;=0,Project_Register!$AA$7,U13+N(Inputs_Actuals!U49)),Project_Register!$AA$7)</f>
        <v>790</v>
      </c>
      <c r="V14" s="67" t="n">
        <f aca="false">IF(V$5="A",IF(V13+N(Inputs_Actuals!V49)&lt;=0,Project_Register!$AA$7,V13+N(Inputs_Actuals!V49)),Project_Register!$AA$7)</f>
        <v>790</v>
      </c>
      <c r="W14" s="67" t="n">
        <f aca="false">IF(W$5="A",IF(W13+N(Inputs_Actuals!W49)&lt;=0,Project_Register!$AA$7,W13+N(Inputs_Actuals!W49)),Project_Register!$AA$7)</f>
        <v>790</v>
      </c>
      <c r="X14" s="67" t="n">
        <f aca="false">IF(X$5="A",IF(X13+N(Inputs_Actuals!X49)&lt;=0,Project_Register!$AA$7,X13+N(Inputs_Actuals!X49)),Project_Register!$AA$7)</f>
        <v>790</v>
      </c>
      <c r="Y14" s="67" t="n">
        <f aca="false">IF(Y$5="A",IF(Y13+N(Inputs_Actuals!Y49)&lt;=0,Project_Register!$AA$7,Y13+N(Inputs_Actuals!Y49)),Project_Register!$AA$7)</f>
        <v>790</v>
      </c>
      <c r="Z14" s="67" t="n">
        <f aca="false">IF(Z$5="A",IF(Z13+N(Inputs_Actuals!Z49)&lt;=0,Project_Register!$AA$7,Z13+N(Inputs_Actuals!Z49)),Project_Register!$AA$7)</f>
        <v>790</v>
      </c>
      <c r="AA14" s="67" t="n">
        <f aca="false">IF(AA$5="A",IF(AA13+N(Inputs_Actuals!AA49)&lt;=0,Project_Register!$AA$7,AA13+N(Inputs_Actuals!AA49)),Project_Register!$AA$7)</f>
        <v>790</v>
      </c>
      <c r="AB14" s="67" t="n">
        <f aca="false">IF(AB$5="A",IF(AB13+N(Inputs_Actuals!AB49)&lt;=0,Project_Register!$AA$7,AB13+N(Inputs_Actuals!AB49)),Project_Register!$AA$7)</f>
        <v>790</v>
      </c>
    </row>
    <row r="15" customFormat="false" ht="15" hidden="false" customHeight="false" outlineLevel="0" collapsed="false">
      <c r="A15" s="28" t="s">
        <v>915</v>
      </c>
      <c r="B15" s="58" t="s">
        <v>916</v>
      </c>
      <c r="C15" s="61" t="n">
        <f aca="false">P15</f>
        <v>1</v>
      </c>
      <c r="D15" s="61" t="n">
        <f aca="false">AB15</f>
        <v>1</v>
      </c>
      <c r="E15" s="62" t="n">
        <f aca="false">IF(E14&lt;=0,0,MIN(1,E13/E14))</f>
        <v>0.934683544303797</v>
      </c>
      <c r="F15" s="62" t="n">
        <f aca="false">IF(F14&lt;=0,0,MIN(1,F13/F14))</f>
        <v>1</v>
      </c>
      <c r="G15" s="62" t="n">
        <f aca="false">IF(G14&lt;=0,0,MIN(1,G13/G14))</f>
        <v>1</v>
      </c>
      <c r="H15" s="62" t="n">
        <f aca="false">IF(H14&lt;=0,0,MIN(1,H13/H14))</f>
        <v>1</v>
      </c>
      <c r="I15" s="62" t="n">
        <f aca="false">IF(I14&lt;=0,0,MIN(1,I13/I14))</f>
        <v>1</v>
      </c>
      <c r="J15" s="62" t="n">
        <f aca="false">IF(J14&lt;=0,0,MIN(1,J13/J14))</f>
        <v>1</v>
      </c>
      <c r="K15" s="62" t="n">
        <f aca="false">IF(K14&lt;=0,0,MIN(1,K13/K14))</f>
        <v>1</v>
      </c>
      <c r="L15" s="62" t="n">
        <f aca="false">IF(L14&lt;=0,0,MIN(1,L13/L14))</f>
        <v>1</v>
      </c>
      <c r="M15" s="62" t="n">
        <f aca="false">IF(M14&lt;=0,0,MIN(1,M13/M14))</f>
        <v>1</v>
      </c>
      <c r="N15" s="62" t="n">
        <f aca="false">IF(N14&lt;=0,0,MIN(1,N13/N14))</f>
        <v>1</v>
      </c>
      <c r="O15" s="62" t="n">
        <f aca="false">IF(O14&lt;=0,0,MIN(1,O13/O14))</f>
        <v>1</v>
      </c>
      <c r="P15" s="62" t="n">
        <f aca="false">IF(P14&lt;=0,0,MIN(1,P13/P14))</f>
        <v>1</v>
      </c>
      <c r="Q15" s="62" t="n">
        <f aca="false">IF(Q14&lt;=0,0,MIN(1,Q13/Q14))</f>
        <v>1</v>
      </c>
      <c r="R15" s="62" t="n">
        <f aca="false">IF(R14&lt;=0,0,MIN(1,R13/R14))</f>
        <v>1</v>
      </c>
      <c r="S15" s="62" t="n">
        <f aca="false">IF(S14&lt;=0,0,MIN(1,S13/S14))</f>
        <v>1</v>
      </c>
      <c r="T15" s="62" t="n">
        <f aca="false">IF(T14&lt;=0,0,MIN(1,T13/T14))</f>
        <v>1</v>
      </c>
      <c r="U15" s="62" t="n">
        <f aca="false">IF(U14&lt;=0,0,MIN(1,U13/U14))</f>
        <v>1</v>
      </c>
      <c r="V15" s="62" t="n">
        <f aca="false">IF(V14&lt;=0,0,MIN(1,V13/V14))</f>
        <v>1</v>
      </c>
      <c r="W15" s="62" t="n">
        <f aca="false">IF(W14&lt;=0,0,MIN(1,W13/W14))</f>
        <v>1</v>
      </c>
      <c r="X15" s="62" t="n">
        <f aca="false">IF(X14&lt;=0,0,MIN(1,X13/X14))</f>
        <v>1</v>
      </c>
      <c r="Y15" s="62" t="n">
        <f aca="false">IF(Y14&lt;=0,0,MIN(1,Y13/Y14))</f>
        <v>1</v>
      </c>
      <c r="Z15" s="62" t="n">
        <f aca="false">IF(Z14&lt;=0,0,MIN(1,Z13/Z14))</f>
        <v>1</v>
      </c>
      <c r="AA15" s="62" t="n">
        <f aca="false">IF(AA14&lt;=0,0,MIN(1,AA13/AA14))</f>
        <v>1</v>
      </c>
      <c r="AB15" s="62" t="n">
        <f aca="false">IF(AB14&lt;=0,0,MIN(1,AB13/AB14))</f>
        <v>1</v>
      </c>
    </row>
    <row r="16" customFormat="false" ht="15" hidden="false" customHeight="false" outlineLevel="0" collapsed="false">
      <c r="A16" s="28" t="s">
        <v>917</v>
      </c>
      <c r="B16" s="58" t="s">
        <v>918</v>
      </c>
      <c r="C16" s="59" t="n">
        <f aca="false">P16</f>
        <v>74000</v>
      </c>
      <c r="D16" s="59" t="n">
        <f aca="false">AB16</f>
        <v>74000</v>
      </c>
      <c r="E16" s="60" t="n">
        <f aca="false">IF(E$5="A",N(Inputs_Actuals!E50),Project_Register!$W$7)</f>
        <v>74000</v>
      </c>
      <c r="F16" s="60" t="n">
        <f aca="false">IF(F$5="A",N(Inputs_Actuals!F50),Project_Register!$W$7)</f>
        <v>74000</v>
      </c>
      <c r="G16" s="60" t="n">
        <f aca="false">IF(G$5="A",N(Inputs_Actuals!G50),Project_Register!$W$7)</f>
        <v>74000</v>
      </c>
      <c r="H16" s="60" t="n">
        <f aca="false">IF(H$5="A",N(Inputs_Actuals!H50),Project_Register!$W$7)</f>
        <v>74000</v>
      </c>
      <c r="I16" s="60" t="n">
        <f aca="false">IF(I$5="A",N(Inputs_Actuals!I50),Project_Register!$W$7)</f>
        <v>74000</v>
      </c>
      <c r="J16" s="60" t="n">
        <f aca="false">IF(J$5="A",N(Inputs_Actuals!J50),Project_Register!$W$7)</f>
        <v>74000</v>
      </c>
      <c r="K16" s="60" t="n">
        <f aca="false">IF(K$5="A",N(Inputs_Actuals!K50),Project_Register!$W$7)</f>
        <v>74000</v>
      </c>
      <c r="L16" s="60" t="n">
        <f aca="false">IF(L$5="A",N(Inputs_Actuals!L50),Project_Register!$W$7)</f>
        <v>74000</v>
      </c>
      <c r="M16" s="60" t="n">
        <f aca="false">IF(M$5="A",N(Inputs_Actuals!M50),Project_Register!$W$7)</f>
        <v>74000</v>
      </c>
      <c r="N16" s="60" t="n">
        <f aca="false">IF(N$5="A",N(Inputs_Actuals!N50),Project_Register!$W$7)</f>
        <v>74000</v>
      </c>
      <c r="O16" s="60" t="n">
        <f aca="false">IF(O$5="A",N(Inputs_Actuals!O50),Project_Register!$W$7)</f>
        <v>74000</v>
      </c>
      <c r="P16" s="60" t="n">
        <f aca="false">IF(P$5="A",N(Inputs_Actuals!P50),Project_Register!$W$7)</f>
        <v>74000</v>
      </c>
      <c r="Q16" s="60" t="n">
        <f aca="false">IF(Q$5="A",N(Inputs_Actuals!Q50),Project_Register!$W$7)</f>
        <v>74000</v>
      </c>
      <c r="R16" s="60" t="n">
        <f aca="false">IF(R$5="A",N(Inputs_Actuals!R50),Project_Register!$W$7)</f>
        <v>74000</v>
      </c>
      <c r="S16" s="60" t="n">
        <f aca="false">IF(S$5="A",N(Inputs_Actuals!S50),Project_Register!$W$7)</f>
        <v>74000</v>
      </c>
      <c r="T16" s="60" t="n">
        <f aca="false">IF(T$5="A",N(Inputs_Actuals!T50),Project_Register!$W$7)</f>
        <v>74000</v>
      </c>
      <c r="U16" s="60" t="n">
        <f aca="false">IF(U$5="A",N(Inputs_Actuals!U50),Project_Register!$W$7)</f>
        <v>74000</v>
      </c>
      <c r="V16" s="60" t="n">
        <f aca="false">IF(V$5="A",N(Inputs_Actuals!V50),Project_Register!$W$7)</f>
        <v>74000</v>
      </c>
      <c r="W16" s="60" t="n">
        <f aca="false">IF(W$5="A",N(Inputs_Actuals!W50),Project_Register!$W$7)</f>
        <v>74000</v>
      </c>
      <c r="X16" s="60" t="n">
        <f aca="false">IF(X$5="A",N(Inputs_Actuals!X50),Project_Register!$W$7)</f>
        <v>74000</v>
      </c>
      <c r="Y16" s="60" t="n">
        <f aca="false">IF(Y$5="A",N(Inputs_Actuals!Y50),Project_Register!$W$7)</f>
        <v>74000</v>
      </c>
      <c r="Z16" s="60" t="n">
        <f aca="false">IF(Z$5="A",N(Inputs_Actuals!Z50),Project_Register!$W$7)</f>
        <v>74000</v>
      </c>
      <c r="AA16" s="60" t="n">
        <f aca="false">IF(AA$5="A",N(Inputs_Actuals!AA50),Project_Register!$W$7)</f>
        <v>74000</v>
      </c>
      <c r="AB16" s="60" t="n">
        <f aca="false">IF(AB$5="A",N(Inputs_Actuals!AB50),Project_Register!$W$7)</f>
        <v>74000</v>
      </c>
    </row>
    <row r="17" customFormat="false" ht="15" hidden="false" customHeight="false" outlineLevel="0" collapsed="false">
      <c r="A17" s="28" t="s">
        <v>919</v>
      </c>
      <c r="B17" s="58" t="s">
        <v>920</v>
      </c>
      <c r="C17" s="59" t="n">
        <f aca="false">P17</f>
        <v>74000</v>
      </c>
      <c r="D17" s="59" t="n">
        <f aca="false">AB17</f>
        <v>74000</v>
      </c>
      <c r="E17" s="60" t="n">
        <f aca="false">IF(E$5="A",Project_Register!$Q$7+Inputs_Actuals!E51,E15*E16)</f>
        <v>69166.58</v>
      </c>
      <c r="F17" s="60" t="n">
        <f aca="false">IF(F$5="A",E17+Inputs_Actuals!F51,F15*F16)</f>
        <v>74000</v>
      </c>
      <c r="G17" s="60" t="n">
        <f aca="false">IF(G$5="A",F17+Inputs_Actuals!G51,G15*G16)</f>
        <v>74000</v>
      </c>
      <c r="H17" s="60" t="n">
        <f aca="false">IF(H$5="A",G17+Inputs_Actuals!H51,H15*H16)</f>
        <v>74000</v>
      </c>
      <c r="I17" s="60" t="n">
        <f aca="false">IF(I$5="A",H17+Inputs_Actuals!I51,I15*I16)</f>
        <v>74000</v>
      </c>
      <c r="J17" s="60" t="n">
        <f aca="false">IF(J$5="A",I17+Inputs_Actuals!J51,J15*J16)</f>
        <v>74000</v>
      </c>
      <c r="K17" s="60" t="n">
        <f aca="false">IF(K$5="A",J17+Inputs_Actuals!K51,K15*K16)</f>
        <v>74000</v>
      </c>
      <c r="L17" s="60" t="n">
        <f aca="false">IF(L$5="A",K17+Inputs_Actuals!L51,L15*L16)</f>
        <v>74000</v>
      </c>
      <c r="M17" s="60" t="n">
        <f aca="false">IF(M$5="A",L17+Inputs_Actuals!M51,M15*M16)</f>
        <v>74000</v>
      </c>
      <c r="N17" s="60" t="n">
        <f aca="false">IF(N$5="A",M17+Inputs_Actuals!N51,N15*N16)</f>
        <v>74000</v>
      </c>
      <c r="O17" s="60" t="n">
        <f aca="false">IF(O$5="A",N17+Inputs_Actuals!O51,O15*O16)</f>
        <v>74000</v>
      </c>
      <c r="P17" s="60" t="n">
        <f aca="false">IF(P$5="A",O17+Inputs_Actuals!P51,P15*P16)</f>
        <v>74000</v>
      </c>
      <c r="Q17" s="60" t="n">
        <f aca="false">IF(Q$5="A",P17+Inputs_Actuals!Q51,Q15*Q16)</f>
        <v>74000</v>
      </c>
      <c r="R17" s="60" t="n">
        <f aca="false">IF(R$5="A",Q17+Inputs_Actuals!R51,R15*R16)</f>
        <v>74000</v>
      </c>
      <c r="S17" s="60" t="n">
        <f aca="false">IF(S$5="A",R17+Inputs_Actuals!S51,S15*S16)</f>
        <v>74000</v>
      </c>
      <c r="T17" s="60" t="n">
        <f aca="false">IF(T$5="A",S17+Inputs_Actuals!T51,T15*T16)</f>
        <v>74000</v>
      </c>
      <c r="U17" s="60" t="n">
        <f aca="false">IF(U$5="A",T17+Inputs_Actuals!U51,U15*U16)</f>
        <v>74000</v>
      </c>
      <c r="V17" s="60" t="n">
        <f aca="false">IF(V$5="A",U17+Inputs_Actuals!V51,V15*V16)</f>
        <v>74000</v>
      </c>
      <c r="W17" s="60" t="n">
        <f aca="false">IF(W$5="A",V17+Inputs_Actuals!W51,W15*W16)</f>
        <v>74000</v>
      </c>
      <c r="X17" s="60" t="n">
        <f aca="false">IF(X$5="A",W17+Inputs_Actuals!X51,X15*X16)</f>
        <v>74000</v>
      </c>
      <c r="Y17" s="60" t="n">
        <f aca="false">IF(Y$5="A",X17+Inputs_Actuals!Y51,Y15*Y16)</f>
        <v>74000</v>
      </c>
      <c r="Z17" s="60" t="n">
        <f aca="false">IF(Z$5="A",Y17+Inputs_Actuals!Z51,Z15*Z16)</f>
        <v>74000</v>
      </c>
      <c r="AA17" s="60" t="n">
        <f aca="false">IF(AA$5="A",Z17+Inputs_Actuals!AA51,AA15*AA16)</f>
        <v>74000</v>
      </c>
      <c r="AB17" s="60" t="n">
        <f aca="false">IF(AB$5="A",AA17+Inputs_Actuals!AB51,AB15*AB16)</f>
        <v>74000</v>
      </c>
    </row>
    <row r="18" customFormat="false" ht="15" hidden="false" customHeight="false" outlineLevel="0" collapsed="false">
      <c r="A18" s="68" t="s">
        <v>921</v>
      </c>
      <c r="B18" s="69" t="s">
        <v>922</v>
      </c>
      <c r="C18" s="70" t="n">
        <f aca="false">SUM(E18:P18)</f>
        <v>15092.11</v>
      </c>
      <c r="D18" s="70" t="n">
        <f aca="false">SUM(Q18:AB18)</f>
        <v>0</v>
      </c>
      <c r="E18" s="74" t="n">
        <f aca="false">E17-Project_Register!$Q$7</f>
        <v>10258.69</v>
      </c>
      <c r="F18" s="70" t="n">
        <f aca="false">F17-E17</f>
        <v>4833.42</v>
      </c>
      <c r="G18" s="70" t="n">
        <f aca="false">G17-F17</f>
        <v>0</v>
      </c>
      <c r="H18" s="70" t="n">
        <f aca="false">H17-G17</f>
        <v>0</v>
      </c>
      <c r="I18" s="70" t="n">
        <f aca="false">I17-H17</f>
        <v>0</v>
      </c>
      <c r="J18" s="70" t="n">
        <f aca="false">J17-I17</f>
        <v>0</v>
      </c>
      <c r="K18" s="70" t="n">
        <f aca="false">K17-J17</f>
        <v>0</v>
      </c>
      <c r="L18" s="70" t="n">
        <f aca="false">L17-K17</f>
        <v>0</v>
      </c>
      <c r="M18" s="70" t="n">
        <f aca="false">M17-L17</f>
        <v>0</v>
      </c>
      <c r="N18" s="70" t="n">
        <f aca="false">N17-M17</f>
        <v>0</v>
      </c>
      <c r="O18" s="70" t="n">
        <f aca="false">O17-N17</f>
        <v>0</v>
      </c>
      <c r="P18" s="70" t="n">
        <f aca="false">P17-O17</f>
        <v>0</v>
      </c>
      <c r="Q18" s="70" t="n">
        <f aca="false">Q17-P17</f>
        <v>0</v>
      </c>
      <c r="R18" s="70" t="n">
        <f aca="false">R17-Q17</f>
        <v>0</v>
      </c>
      <c r="S18" s="70" t="n">
        <f aca="false">S17-R17</f>
        <v>0</v>
      </c>
      <c r="T18" s="70" t="n">
        <f aca="false">T17-S17</f>
        <v>0</v>
      </c>
      <c r="U18" s="70" t="n">
        <f aca="false">U17-T17</f>
        <v>0</v>
      </c>
      <c r="V18" s="70" t="n">
        <f aca="false">V17-U17</f>
        <v>0</v>
      </c>
      <c r="W18" s="70" t="n">
        <f aca="false">W17-V17</f>
        <v>0</v>
      </c>
      <c r="X18" s="70" t="n">
        <f aca="false">X17-W17</f>
        <v>0</v>
      </c>
      <c r="Y18" s="70" t="n">
        <f aca="false">Y17-X17</f>
        <v>0</v>
      </c>
      <c r="Z18" s="70" t="n">
        <f aca="false">Z17-Y17</f>
        <v>0</v>
      </c>
      <c r="AA18" s="70" t="n">
        <f aca="false">AA17-Z17</f>
        <v>0</v>
      </c>
      <c r="AB18" s="70" t="n">
        <f aca="false">AB17-AA17</f>
        <v>0</v>
      </c>
    </row>
    <row r="19" customFormat="false" ht="15" hidden="false" customHeight="false" outlineLevel="0" collapsed="false">
      <c r="A19" s="28" t="s">
        <v>923</v>
      </c>
      <c r="B19" s="58" t="s">
        <v>924</v>
      </c>
      <c r="C19" s="59" t="n">
        <f aca="false">P19</f>
        <v>74000</v>
      </c>
      <c r="D19" s="59" t="n">
        <f aca="false">AB19</f>
        <v>74000</v>
      </c>
      <c r="E19" s="60" t="n">
        <f aca="false">E16*(Assumptions!$C$71*(Assumptions!E$99&gt;=Project_Register!$T$7)+Assumptions!$C$72*(Assumptions!E$99&gt;=Project_Register!$V$7)+Assumptions!$C$73*(Assumptions!E$99&gt;=Project_Register!$U$7))</f>
        <v>51800</v>
      </c>
      <c r="F19" s="60" t="n">
        <f aca="false">F16*(Assumptions!$C$71*(Assumptions!F$99&gt;=Project_Register!$T$7)+Assumptions!$C$72*(Assumptions!F$99&gt;=Project_Register!$V$7)+Assumptions!$C$73*(Assumptions!F$99&gt;=Project_Register!$U$7))</f>
        <v>74000</v>
      </c>
      <c r="G19" s="60" t="n">
        <f aca="false">G16*(Assumptions!$C$71*(Assumptions!G$99&gt;=Project_Register!$T$7)+Assumptions!$C$72*(Assumptions!G$99&gt;=Project_Register!$V$7)+Assumptions!$C$73*(Assumptions!G$99&gt;=Project_Register!$U$7))</f>
        <v>74000</v>
      </c>
      <c r="H19" s="60" t="n">
        <f aca="false">H16*(Assumptions!$C$71*(Assumptions!H$99&gt;=Project_Register!$T$7)+Assumptions!$C$72*(Assumptions!H$99&gt;=Project_Register!$V$7)+Assumptions!$C$73*(Assumptions!H$99&gt;=Project_Register!$U$7))</f>
        <v>74000</v>
      </c>
      <c r="I19" s="60" t="n">
        <f aca="false">I16*(Assumptions!$C$71*(Assumptions!I$99&gt;=Project_Register!$T$7)+Assumptions!$C$72*(Assumptions!I$99&gt;=Project_Register!$V$7)+Assumptions!$C$73*(Assumptions!I$99&gt;=Project_Register!$U$7))</f>
        <v>74000</v>
      </c>
      <c r="J19" s="60" t="n">
        <f aca="false">J16*(Assumptions!$C$71*(Assumptions!J$99&gt;=Project_Register!$T$7)+Assumptions!$C$72*(Assumptions!J$99&gt;=Project_Register!$V$7)+Assumptions!$C$73*(Assumptions!J$99&gt;=Project_Register!$U$7))</f>
        <v>74000</v>
      </c>
      <c r="K19" s="60" t="n">
        <f aca="false">K16*(Assumptions!$C$71*(Assumptions!K$99&gt;=Project_Register!$T$7)+Assumptions!$C$72*(Assumptions!K$99&gt;=Project_Register!$V$7)+Assumptions!$C$73*(Assumptions!K$99&gt;=Project_Register!$U$7))</f>
        <v>74000</v>
      </c>
      <c r="L19" s="60" t="n">
        <f aca="false">L16*(Assumptions!$C$71*(Assumptions!L$99&gt;=Project_Register!$T$7)+Assumptions!$C$72*(Assumptions!L$99&gt;=Project_Register!$V$7)+Assumptions!$C$73*(Assumptions!L$99&gt;=Project_Register!$U$7))</f>
        <v>74000</v>
      </c>
      <c r="M19" s="60" t="n">
        <f aca="false">M16*(Assumptions!$C$71*(Assumptions!M$99&gt;=Project_Register!$T$7)+Assumptions!$C$72*(Assumptions!M$99&gt;=Project_Register!$V$7)+Assumptions!$C$73*(Assumptions!M$99&gt;=Project_Register!$U$7))</f>
        <v>74000</v>
      </c>
      <c r="N19" s="60" t="n">
        <f aca="false">N16*(Assumptions!$C$71*(Assumptions!N$99&gt;=Project_Register!$T$7)+Assumptions!$C$72*(Assumptions!N$99&gt;=Project_Register!$V$7)+Assumptions!$C$73*(Assumptions!N$99&gt;=Project_Register!$U$7))</f>
        <v>74000</v>
      </c>
      <c r="O19" s="60" t="n">
        <f aca="false">O16*(Assumptions!$C$71*(Assumptions!O$99&gt;=Project_Register!$T$7)+Assumptions!$C$72*(Assumptions!O$99&gt;=Project_Register!$V$7)+Assumptions!$C$73*(Assumptions!O$99&gt;=Project_Register!$U$7))</f>
        <v>74000</v>
      </c>
      <c r="P19" s="60" t="n">
        <f aca="false">P16*(Assumptions!$C$71*(Assumptions!P$99&gt;=Project_Register!$T$7)+Assumptions!$C$72*(Assumptions!P$99&gt;=Project_Register!$V$7)+Assumptions!$C$73*(Assumptions!P$99&gt;=Project_Register!$U$7))</f>
        <v>74000</v>
      </c>
      <c r="Q19" s="60" t="n">
        <f aca="false">Q16*(Assumptions!$C$71*(Assumptions!Q$99&gt;=Project_Register!$T$7)+Assumptions!$C$72*(Assumptions!Q$99&gt;=Project_Register!$V$7)+Assumptions!$C$73*(Assumptions!Q$99&gt;=Project_Register!$U$7))</f>
        <v>74000</v>
      </c>
      <c r="R19" s="60" t="n">
        <f aca="false">R16*(Assumptions!$C$71*(Assumptions!R$99&gt;=Project_Register!$T$7)+Assumptions!$C$72*(Assumptions!R$99&gt;=Project_Register!$V$7)+Assumptions!$C$73*(Assumptions!R$99&gt;=Project_Register!$U$7))</f>
        <v>74000</v>
      </c>
      <c r="S19" s="60" t="n">
        <f aca="false">S16*(Assumptions!$C$71*(Assumptions!S$99&gt;=Project_Register!$T$7)+Assumptions!$C$72*(Assumptions!S$99&gt;=Project_Register!$V$7)+Assumptions!$C$73*(Assumptions!S$99&gt;=Project_Register!$U$7))</f>
        <v>74000</v>
      </c>
      <c r="T19" s="60" t="n">
        <f aca="false">T16*(Assumptions!$C$71*(Assumptions!T$99&gt;=Project_Register!$T$7)+Assumptions!$C$72*(Assumptions!T$99&gt;=Project_Register!$V$7)+Assumptions!$C$73*(Assumptions!T$99&gt;=Project_Register!$U$7))</f>
        <v>74000</v>
      </c>
      <c r="U19" s="60" t="n">
        <f aca="false">U16*(Assumptions!$C$71*(Assumptions!U$99&gt;=Project_Register!$T$7)+Assumptions!$C$72*(Assumptions!U$99&gt;=Project_Register!$V$7)+Assumptions!$C$73*(Assumptions!U$99&gt;=Project_Register!$U$7))</f>
        <v>74000</v>
      </c>
      <c r="V19" s="60" t="n">
        <f aca="false">V16*(Assumptions!$C$71*(Assumptions!V$99&gt;=Project_Register!$T$7)+Assumptions!$C$72*(Assumptions!V$99&gt;=Project_Register!$V$7)+Assumptions!$C$73*(Assumptions!V$99&gt;=Project_Register!$U$7))</f>
        <v>74000</v>
      </c>
      <c r="W19" s="60" t="n">
        <f aca="false">W16*(Assumptions!$C$71*(Assumptions!W$99&gt;=Project_Register!$T$7)+Assumptions!$C$72*(Assumptions!W$99&gt;=Project_Register!$V$7)+Assumptions!$C$73*(Assumptions!W$99&gt;=Project_Register!$U$7))</f>
        <v>74000</v>
      </c>
      <c r="X19" s="60" t="n">
        <f aca="false">X16*(Assumptions!$C$71*(Assumptions!X$99&gt;=Project_Register!$T$7)+Assumptions!$C$72*(Assumptions!X$99&gt;=Project_Register!$V$7)+Assumptions!$C$73*(Assumptions!X$99&gt;=Project_Register!$U$7))</f>
        <v>74000</v>
      </c>
      <c r="Y19" s="60" t="n">
        <f aca="false">Y16*(Assumptions!$C$71*(Assumptions!Y$99&gt;=Project_Register!$T$7)+Assumptions!$C$72*(Assumptions!Y$99&gt;=Project_Register!$V$7)+Assumptions!$C$73*(Assumptions!Y$99&gt;=Project_Register!$U$7))</f>
        <v>74000</v>
      </c>
      <c r="Z19" s="60" t="n">
        <f aca="false">Z16*(Assumptions!$C$71*(Assumptions!Z$99&gt;=Project_Register!$T$7)+Assumptions!$C$72*(Assumptions!Z$99&gt;=Project_Register!$V$7)+Assumptions!$C$73*(Assumptions!Z$99&gt;=Project_Register!$U$7))</f>
        <v>74000</v>
      </c>
      <c r="AA19" s="60" t="n">
        <f aca="false">AA16*(Assumptions!$C$71*(Assumptions!AA$99&gt;=Project_Register!$T$7)+Assumptions!$C$72*(Assumptions!AA$99&gt;=Project_Register!$V$7)+Assumptions!$C$73*(Assumptions!AA$99&gt;=Project_Register!$U$7))</f>
        <v>74000</v>
      </c>
      <c r="AB19" s="60" t="n">
        <f aca="false">AB16*(Assumptions!$C$71*(Assumptions!AB$99&gt;=Project_Register!$T$7)+Assumptions!$C$72*(Assumptions!AB$99&gt;=Project_Register!$V$7)+Assumptions!$C$73*(Assumptions!AB$99&gt;=Project_Register!$U$7))</f>
        <v>74000</v>
      </c>
    </row>
    <row r="20" customFormat="false" ht="15" hidden="false" customHeight="false" outlineLevel="0" collapsed="false">
      <c r="A20" s="28" t="s">
        <v>925</v>
      </c>
      <c r="B20" s="58" t="s">
        <v>926</v>
      </c>
      <c r="C20" s="59" t="n">
        <f aca="false">SUM(E20:P20)</f>
        <v>22200</v>
      </c>
      <c r="D20" s="59" t="n">
        <f aca="false">SUM(Q20:AB20)</f>
        <v>0</v>
      </c>
      <c r="E20" s="60" t="n">
        <f aca="false">IF(E$5="A",Inputs_Actuals!E52,MAX(0,E19-Project_Register!$R$7))</f>
        <v>0</v>
      </c>
      <c r="F20" s="60" t="n">
        <f aca="false">IF(F$5="A",Inputs_Actuals!F52,MAX(0,F19-E21))</f>
        <v>22200</v>
      </c>
      <c r="G20" s="60" t="n">
        <f aca="false">IF(G$5="A",Inputs_Actuals!G52,MAX(0,G19-F21))</f>
        <v>0</v>
      </c>
      <c r="H20" s="60" t="n">
        <f aca="false">IF(H$5="A",Inputs_Actuals!H52,MAX(0,H19-G21))</f>
        <v>0</v>
      </c>
      <c r="I20" s="60" t="n">
        <f aca="false">IF(I$5="A",Inputs_Actuals!I52,MAX(0,I19-H21))</f>
        <v>0</v>
      </c>
      <c r="J20" s="60" t="n">
        <f aca="false">IF(J$5="A",Inputs_Actuals!J52,MAX(0,J19-I21))</f>
        <v>0</v>
      </c>
      <c r="K20" s="60" t="n">
        <f aca="false">IF(K$5="A",Inputs_Actuals!K52,MAX(0,K19-J21))</f>
        <v>0</v>
      </c>
      <c r="L20" s="60" t="n">
        <f aca="false">IF(L$5="A",Inputs_Actuals!L52,MAX(0,L19-K21))</f>
        <v>0</v>
      </c>
      <c r="M20" s="60" t="n">
        <f aca="false">IF(M$5="A",Inputs_Actuals!M52,MAX(0,M19-L21))</f>
        <v>0</v>
      </c>
      <c r="N20" s="60" t="n">
        <f aca="false">IF(N$5="A",Inputs_Actuals!N52,MAX(0,N19-M21))</f>
        <v>0</v>
      </c>
      <c r="O20" s="60" t="n">
        <f aca="false">IF(O$5="A",Inputs_Actuals!O52,MAX(0,O19-N21))</f>
        <v>0</v>
      </c>
      <c r="P20" s="60" t="n">
        <f aca="false">IF(P$5="A",Inputs_Actuals!P52,MAX(0,P19-O21))</f>
        <v>0</v>
      </c>
      <c r="Q20" s="60" t="n">
        <f aca="false">IF(Q$5="A",Inputs_Actuals!Q52,MAX(0,Q19-P21))</f>
        <v>0</v>
      </c>
      <c r="R20" s="60" t="n">
        <f aca="false">IF(R$5="A",Inputs_Actuals!R52,MAX(0,R19-Q21))</f>
        <v>0</v>
      </c>
      <c r="S20" s="60" t="n">
        <f aca="false">IF(S$5="A",Inputs_Actuals!S52,MAX(0,S19-R21))</f>
        <v>0</v>
      </c>
      <c r="T20" s="60" t="n">
        <f aca="false">IF(T$5="A",Inputs_Actuals!T52,MAX(0,T19-S21))</f>
        <v>0</v>
      </c>
      <c r="U20" s="60" t="n">
        <f aca="false">IF(U$5="A",Inputs_Actuals!U52,MAX(0,U19-T21))</f>
        <v>0</v>
      </c>
      <c r="V20" s="60" t="n">
        <f aca="false">IF(V$5="A",Inputs_Actuals!V52,MAX(0,V19-U21))</f>
        <v>0</v>
      </c>
      <c r="W20" s="60" t="n">
        <f aca="false">IF(W$5="A",Inputs_Actuals!W52,MAX(0,W19-V21))</f>
        <v>0</v>
      </c>
      <c r="X20" s="60" t="n">
        <f aca="false">IF(X$5="A",Inputs_Actuals!X52,MAX(0,X19-W21))</f>
        <v>0</v>
      </c>
      <c r="Y20" s="60" t="n">
        <f aca="false">IF(Y$5="A",Inputs_Actuals!Y52,MAX(0,Y19-X21))</f>
        <v>0</v>
      </c>
      <c r="Z20" s="60" t="n">
        <f aca="false">IF(Z$5="A",Inputs_Actuals!Z52,MAX(0,Z19-Y21))</f>
        <v>0</v>
      </c>
      <c r="AA20" s="60" t="n">
        <f aca="false">IF(AA$5="A",Inputs_Actuals!AA52,MAX(0,AA19-Z21))</f>
        <v>0</v>
      </c>
      <c r="AB20" s="60" t="n">
        <f aca="false">IF(AB$5="A",Inputs_Actuals!AB52,MAX(0,AB19-AA21))</f>
        <v>0</v>
      </c>
    </row>
    <row r="21" customFormat="false" ht="15" hidden="false" customHeight="false" outlineLevel="0" collapsed="false">
      <c r="A21" s="28" t="s">
        <v>927</v>
      </c>
      <c r="B21" s="58"/>
      <c r="C21" s="59" t="n">
        <f aca="false">P21</f>
        <v>74000</v>
      </c>
      <c r="D21" s="59" t="n">
        <f aca="false">AB21</f>
        <v>74000</v>
      </c>
      <c r="E21" s="60" t="n">
        <f aca="false">Project_Register!$R$7+E20</f>
        <v>51800</v>
      </c>
      <c r="F21" s="71" t="n">
        <f aca="false">E21+F20</f>
        <v>74000</v>
      </c>
      <c r="G21" s="71" t="n">
        <f aca="false">F21+G20</f>
        <v>74000</v>
      </c>
      <c r="H21" s="71" t="n">
        <f aca="false">G21+H20</f>
        <v>74000</v>
      </c>
      <c r="I21" s="71" t="n">
        <f aca="false">H21+I20</f>
        <v>74000</v>
      </c>
      <c r="J21" s="71" t="n">
        <f aca="false">I21+J20</f>
        <v>74000</v>
      </c>
      <c r="K21" s="71" t="n">
        <f aca="false">J21+K20</f>
        <v>74000</v>
      </c>
      <c r="L21" s="71" t="n">
        <f aca="false">K21+L20</f>
        <v>74000</v>
      </c>
      <c r="M21" s="71" t="n">
        <f aca="false">L21+M20</f>
        <v>74000</v>
      </c>
      <c r="N21" s="71" t="n">
        <f aca="false">M21+N20</f>
        <v>74000</v>
      </c>
      <c r="O21" s="71" t="n">
        <f aca="false">N21+O20</f>
        <v>74000</v>
      </c>
      <c r="P21" s="71" t="n">
        <f aca="false">O21+P20</f>
        <v>74000</v>
      </c>
      <c r="Q21" s="71" t="n">
        <f aca="false">P21+Q20</f>
        <v>74000</v>
      </c>
      <c r="R21" s="71" t="n">
        <f aca="false">Q21+R20</f>
        <v>74000</v>
      </c>
      <c r="S21" s="71" t="n">
        <f aca="false">R21+S20</f>
        <v>74000</v>
      </c>
      <c r="T21" s="71" t="n">
        <f aca="false">S21+T20</f>
        <v>74000</v>
      </c>
      <c r="U21" s="71" t="n">
        <f aca="false">T21+U20</f>
        <v>74000</v>
      </c>
      <c r="V21" s="71" t="n">
        <f aca="false">U21+V20</f>
        <v>74000</v>
      </c>
      <c r="W21" s="71" t="n">
        <f aca="false">V21+W20</f>
        <v>74000</v>
      </c>
      <c r="X21" s="71" t="n">
        <f aca="false">W21+X20</f>
        <v>74000</v>
      </c>
      <c r="Y21" s="71" t="n">
        <f aca="false">X21+Y20</f>
        <v>74000</v>
      </c>
      <c r="Z21" s="71" t="n">
        <f aca="false">Y21+Z20</f>
        <v>74000</v>
      </c>
      <c r="AA21" s="71" t="n">
        <f aca="false">Z21+AA20</f>
        <v>74000</v>
      </c>
      <c r="AB21" s="71" t="n">
        <f aca="false">AA21+AB20</f>
        <v>74000</v>
      </c>
    </row>
    <row r="22" customFormat="false" ht="15" hidden="false" customHeight="false" outlineLevel="0" collapsed="false">
      <c r="A22" s="28" t="s">
        <v>928</v>
      </c>
      <c r="B22" s="58" t="s">
        <v>929</v>
      </c>
      <c r="C22" s="59" t="n">
        <f aca="false">P22</f>
        <v>0</v>
      </c>
      <c r="D22" s="59" t="n">
        <f aca="false">AB22</f>
        <v>0</v>
      </c>
      <c r="E22" s="71" t="n">
        <f aca="false">E17-E21</f>
        <v>17366.58</v>
      </c>
      <c r="F22" s="71" t="n">
        <f aca="false">F17-F21</f>
        <v>0</v>
      </c>
      <c r="G22" s="71" t="n">
        <f aca="false">G17-G21</f>
        <v>0</v>
      </c>
      <c r="H22" s="71" t="n">
        <f aca="false">H17-H21</f>
        <v>0</v>
      </c>
      <c r="I22" s="71" t="n">
        <f aca="false">I17-I21</f>
        <v>0</v>
      </c>
      <c r="J22" s="71" t="n">
        <f aca="false">J17-J21</f>
        <v>0</v>
      </c>
      <c r="K22" s="71" t="n">
        <f aca="false">K17-K21</f>
        <v>0</v>
      </c>
      <c r="L22" s="71" t="n">
        <f aca="false">L17-L21</f>
        <v>0</v>
      </c>
      <c r="M22" s="71" t="n">
        <f aca="false">M17-M21</f>
        <v>0</v>
      </c>
      <c r="N22" s="71" t="n">
        <f aca="false">N17-N21</f>
        <v>0</v>
      </c>
      <c r="O22" s="71" t="n">
        <f aca="false">O17-O21</f>
        <v>0</v>
      </c>
      <c r="P22" s="71" t="n">
        <f aca="false">P17-P21</f>
        <v>0</v>
      </c>
      <c r="Q22" s="71" t="n">
        <f aca="false">Q17-Q21</f>
        <v>0</v>
      </c>
      <c r="R22" s="71" t="n">
        <f aca="false">R17-R21</f>
        <v>0</v>
      </c>
      <c r="S22" s="71" t="n">
        <f aca="false">S17-S21</f>
        <v>0</v>
      </c>
      <c r="T22" s="71" t="n">
        <f aca="false">T17-T21</f>
        <v>0</v>
      </c>
      <c r="U22" s="71" t="n">
        <f aca="false">U17-U21</f>
        <v>0</v>
      </c>
      <c r="V22" s="71" t="n">
        <f aca="false">V17-V21</f>
        <v>0</v>
      </c>
      <c r="W22" s="71" t="n">
        <f aca="false">W17-W21</f>
        <v>0</v>
      </c>
      <c r="X22" s="71" t="n">
        <f aca="false">X17-X21</f>
        <v>0</v>
      </c>
      <c r="Y22" s="71" t="n">
        <f aca="false">Y17-Y21</f>
        <v>0</v>
      </c>
      <c r="Z22" s="71" t="n">
        <f aca="false">Z17-Z21</f>
        <v>0</v>
      </c>
      <c r="AA22" s="71" t="n">
        <f aca="false">AA17-AA21</f>
        <v>0</v>
      </c>
      <c r="AB22" s="71" t="n">
        <f aca="false">AB17-AB21</f>
        <v>0</v>
      </c>
    </row>
    <row r="23" customFormat="false" ht="15" hidden="false" customHeight="false" outlineLevel="0" collapsed="false">
      <c r="A23" s="28" t="s">
        <v>930</v>
      </c>
      <c r="B23" s="58"/>
      <c r="C23" s="59" t="n">
        <f aca="false">P23</f>
        <v>0</v>
      </c>
      <c r="D23" s="59" t="n">
        <f aca="false">AB23</f>
        <v>0</v>
      </c>
      <c r="E23" s="71" t="n">
        <f aca="false">MAX(0,E16-E17)</f>
        <v>4833.42</v>
      </c>
      <c r="F23" s="71" t="n">
        <f aca="false">MAX(0,F16-F17)</f>
        <v>0</v>
      </c>
      <c r="G23" s="71" t="n">
        <f aca="false">MAX(0,G16-G17)</f>
        <v>0</v>
      </c>
      <c r="H23" s="71" t="n">
        <f aca="false">MAX(0,H16-H17)</f>
        <v>0</v>
      </c>
      <c r="I23" s="71" t="n">
        <f aca="false">MAX(0,I16-I17)</f>
        <v>0</v>
      </c>
      <c r="J23" s="71" t="n">
        <f aca="false">MAX(0,J16-J17)</f>
        <v>0</v>
      </c>
      <c r="K23" s="71" t="n">
        <f aca="false">MAX(0,K16-K17)</f>
        <v>0</v>
      </c>
      <c r="L23" s="71" t="n">
        <f aca="false">MAX(0,L16-L17)</f>
        <v>0</v>
      </c>
      <c r="M23" s="71" t="n">
        <f aca="false">MAX(0,M16-M17)</f>
        <v>0</v>
      </c>
      <c r="N23" s="71" t="n">
        <f aca="false">MAX(0,N16-N17)</f>
        <v>0</v>
      </c>
      <c r="O23" s="71" t="n">
        <f aca="false">MAX(0,O16-O17)</f>
        <v>0</v>
      </c>
      <c r="P23" s="71" t="n">
        <f aca="false">MAX(0,P16-P17)</f>
        <v>0</v>
      </c>
      <c r="Q23" s="71" t="n">
        <f aca="false">MAX(0,Q16-Q17)</f>
        <v>0</v>
      </c>
      <c r="R23" s="71" t="n">
        <f aca="false">MAX(0,R16-R17)</f>
        <v>0</v>
      </c>
      <c r="S23" s="71" t="n">
        <f aca="false">MAX(0,S16-S17)</f>
        <v>0</v>
      </c>
      <c r="T23" s="71" t="n">
        <f aca="false">MAX(0,T16-T17)</f>
        <v>0</v>
      </c>
      <c r="U23" s="71" t="n">
        <f aca="false">MAX(0,U16-U17)</f>
        <v>0</v>
      </c>
      <c r="V23" s="71" t="n">
        <f aca="false">MAX(0,V16-V17)</f>
        <v>0</v>
      </c>
      <c r="W23" s="71" t="n">
        <f aca="false">MAX(0,W16-W17)</f>
        <v>0</v>
      </c>
      <c r="X23" s="71" t="n">
        <f aca="false">MAX(0,X16-X17)</f>
        <v>0</v>
      </c>
      <c r="Y23" s="71" t="n">
        <f aca="false">MAX(0,Y16-Y17)</f>
        <v>0</v>
      </c>
      <c r="Z23" s="71" t="n">
        <f aca="false">MAX(0,Z16-Z17)</f>
        <v>0</v>
      </c>
      <c r="AA23" s="71" t="n">
        <f aca="false">MAX(0,AA16-AA17)</f>
        <v>0</v>
      </c>
      <c r="AB23" s="71" t="n">
        <f aca="false">MAX(0,AB16-AB17)</f>
        <v>0</v>
      </c>
    </row>
    <row r="24" customFormat="false" ht="15" hidden="false" customHeight="false" outlineLevel="0" collapsed="false">
      <c r="A24" s="28" t="s">
        <v>931</v>
      </c>
      <c r="B24" s="58" t="s">
        <v>932</v>
      </c>
      <c r="E24" s="71" t="n">
        <f aca="false">IF(E$5="A",ROUND(E17-E15*E16,0),0)</f>
        <v>-0</v>
      </c>
      <c r="F24" s="71" t="n">
        <f aca="false">IF(F$5="A",ROUND(F17-F15*F16,0),0)</f>
        <v>0</v>
      </c>
      <c r="G24" s="71" t="n">
        <f aca="false">IF(G$5="A",ROUND(G17-G15*G16,0),0)</f>
        <v>0</v>
      </c>
      <c r="H24" s="71" t="n">
        <f aca="false">IF(H$5="A",ROUND(H17-H15*H16,0),0)</f>
        <v>0</v>
      </c>
      <c r="I24" s="71" t="n">
        <f aca="false">IF(I$5="A",ROUND(I17-I15*I16,0),0)</f>
        <v>0</v>
      </c>
      <c r="J24" s="71" t="n">
        <f aca="false">IF(J$5="A",ROUND(J17-J15*J16,0),0)</f>
        <v>0</v>
      </c>
      <c r="K24" s="71" t="n">
        <f aca="false">IF(K$5="A",ROUND(K17-K15*K16,0),0)</f>
        <v>0</v>
      </c>
      <c r="L24" s="71" t="n">
        <f aca="false">IF(L$5="A",ROUND(L17-L15*L16,0),0)</f>
        <v>0</v>
      </c>
      <c r="M24" s="71" t="n">
        <f aca="false">IF(M$5="A",ROUND(M17-M15*M16,0),0)</f>
        <v>0</v>
      </c>
      <c r="N24" s="71" t="n">
        <f aca="false">IF(N$5="A",ROUND(N17-N15*N16,0),0)</f>
        <v>0</v>
      </c>
      <c r="O24" s="71" t="n">
        <f aca="false">IF(O$5="A",ROUND(O17-O15*O16,0),0)</f>
        <v>0</v>
      </c>
      <c r="P24" s="71" t="n">
        <f aca="false">IF(P$5="A",ROUND(P17-P15*P16,0),0)</f>
        <v>0</v>
      </c>
      <c r="Q24" s="71" t="n">
        <f aca="false">IF(Q$5="A",ROUND(Q17-Q15*Q16,0),0)</f>
        <v>0</v>
      </c>
      <c r="R24" s="71" t="n">
        <f aca="false">IF(R$5="A",ROUND(R17-R15*R16,0),0)</f>
        <v>0</v>
      </c>
      <c r="S24" s="71" t="n">
        <f aca="false">IF(S$5="A",ROUND(S17-S15*S16,0),0)</f>
        <v>0</v>
      </c>
      <c r="T24" s="71" t="n">
        <f aca="false">IF(T$5="A",ROUND(T17-T15*T16,0),0)</f>
        <v>0</v>
      </c>
      <c r="U24" s="71" t="n">
        <f aca="false">IF(U$5="A",ROUND(U17-U15*U16,0),0)</f>
        <v>0</v>
      </c>
      <c r="V24" s="71" t="n">
        <f aca="false">IF(V$5="A",ROUND(V17-V15*V16,0),0)</f>
        <v>0</v>
      </c>
      <c r="W24" s="71" t="n">
        <f aca="false">IF(W$5="A",ROUND(W17-W15*W16,0),0)</f>
        <v>0</v>
      </c>
      <c r="X24" s="71" t="n">
        <f aca="false">IF(X$5="A",ROUND(X17-X15*X16,0),0)</f>
        <v>0</v>
      </c>
      <c r="Y24" s="71" t="n">
        <f aca="false">IF(Y$5="A",ROUND(Y17-Y15*Y16,0),0)</f>
        <v>0</v>
      </c>
      <c r="Z24" s="71" t="n">
        <f aca="false">IF(Z$5="A",ROUND(Z17-Z15*Z16,0),0)</f>
        <v>0</v>
      </c>
      <c r="AA24" s="71" t="n">
        <f aca="false">IF(AA$5="A",ROUND(AA17-AA15*AA16,0),0)</f>
        <v>0</v>
      </c>
      <c r="AB24" s="71" t="n">
        <f aca="false">IF(AB$5="A",ROUND(AB17-AB15*AB16,0),0)</f>
        <v>0</v>
      </c>
    </row>
    <row r="26" customFormat="false" ht="15" hidden="false" customHeight="false" outlineLevel="0" collapsed="false">
      <c r="A26" s="22" t="s">
        <v>933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row>
    <row r="27" customFormat="false" ht="15" hidden="false" customHeight="false" outlineLevel="0" collapsed="false">
      <c r="A27" s="28" t="s">
        <v>905</v>
      </c>
      <c r="B27" s="58" t="s">
        <v>906</v>
      </c>
      <c r="E27" s="112" t="n">
        <f aca="false">MIN(1,MAX(0,(Assumptions!E$99-Project_Register!$T$8+1)/(Project_Register!$U$8-Project_Register!$T$8+1)))</f>
        <v>0.625</v>
      </c>
      <c r="F27" s="112" t="n">
        <f aca="false">MIN(1,MAX(0,(Assumptions!F$99-Project_Register!$T$8+1)/(Project_Register!$U$8-Project_Register!$T$8+1)))</f>
        <v>0.75</v>
      </c>
      <c r="G27" s="112" t="n">
        <f aca="false">MIN(1,MAX(0,(Assumptions!G$99-Project_Register!$T$8+1)/(Project_Register!$U$8-Project_Register!$T$8+1)))</f>
        <v>0.875</v>
      </c>
      <c r="H27" s="112" t="n">
        <f aca="false">MIN(1,MAX(0,(Assumptions!H$99-Project_Register!$T$8+1)/(Project_Register!$U$8-Project_Register!$T$8+1)))</f>
        <v>1</v>
      </c>
      <c r="I27" s="112" t="n">
        <f aca="false">MIN(1,MAX(0,(Assumptions!I$99-Project_Register!$T$8+1)/(Project_Register!$U$8-Project_Register!$T$8+1)))</f>
        <v>1</v>
      </c>
      <c r="J27" s="112" t="n">
        <f aca="false">MIN(1,MAX(0,(Assumptions!J$99-Project_Register!$T$8+1)/(Project_Register!$U$8-Project_Register!$T$8+1)))</f>
        <v>1</v>
      </c>
      <c r="K27" s="112" t="n">
        <f aca="false">MIN(1,MAX(0,(Assumptions!K$99-Project_Register!$T$8+1)/(Project_Register!$U$8-Project_Register!$T$8+1)))</f>
        <v>1</v>
      </c>
      <c r="L27" s="112" t="n">
        <f aca="false">MIN(1,MAX(0,(Assumptions!L$99-Project_Register!$T$8+1)/(Project_Register!$U$8-Project_Register!$T$8+1)))</f>
        <v>1</v>
      </c>
      <c r="M27" s="112" t="n">
        <f aca="false">MIN(1,MAX(0,(Assumptions!M$99-Project_Register!$T$8+1)/(Project_Register!$U$8-Project_Register!$T$8+1)))</f>
        <v>1</v>
      </c>
      <c r="N27" s="112" t="n">
        <f aca="false">MIN(1,MAX(0,(Assumptions!N$99-Project_Register!$T$8+1)/(Project_Register!$U$8-Project_Register!$T$8+1)))</f>
        <v>1</v>
      </c>
      <c r="O27" s="112" t="n">
        <f aca="false">MIN(1,MAX(0,(Assumptions!O$99-Project_Register!$T$8+1)/(Project_Register!$U$8-Project_Register!$T$8+1)))</f>
        <v>1</v>
      </c>
      <c r="P27" s="112" t="n">
        <f aca="false">MIN(1,MAX(0,(Assumptions!P$99-Project_Register!$T$8+1)/(Project_Register!$U$8-Project_Register!$T$8+1)))</f>
        <v>1</v>
      </c>
      <c r="Q27" s="112" t="n">
        <f aca="false">MIN(1,MAX(0,(Assumptions!Q$99-Project_Register!$T$8+1)/(Project_Register!$U$8-Project_Register!$T$8+1)))</f>
        <v>1</v>
      </c>
      <c r="R27" s="112" t="n">
        <f aca="false">MIN(1,MAX(0,(Assumptions!R$99-Project_Register!$T$8+1)/(Project_Register!$U$8-Project_Register!$T$8+1)))</f>
        <v>1</v>
      </c>
      <c r="S27" s="112" t="n">
        <f aca="false">MIN(1,MAX(0,(Assumptions!S$99-Project_Register!$T$8+1)/(Project_Register!$U$8-Project_Register!$T$8+1)))</f>
        <v>1</v>
      </c>
      <c r="T27" s="112" t="n">
        <f aca="false">MIN(1,MAX(0,(Assumptions!T$99-Project_Register!$T$8+1)/(Project_Register!$U$8-Project_Register!$T$8+1)))</f>
        <v>1</v>
      </c>
      <c r="U27" s="112" t="n">
        <f aca="false">MIN(1,MAX(0,(Assumptions!U$99-Project_Register!$T$8+1)/(Project_Register!$U$8-Project_Register!$T$8+1)))</f>
        <v>1</v>
      </c>
      <c r="V27" s="112" t="n">
        <f aca="false">MIN(1,MAX(0,(Assumptions!V$99-Project_Register!$T$8+1)/(Project_Register!$U$8-Project_Register!$T$8+1)))</f>
        <v>1</v>
      </c>
      <c r="W27" s="112" t="n">
        <f aca="false">MIN(1,MAX(0,(Assumptions!W$99-Project_Register!$T$8+1)/(Project_Register!$U$8-Project_Register!$T$8+1)))</f>
        <v>1</v>
      </c>
      <c r="X27" s="112" t="n">
        <f aca="false">MIN(1,MAX(0,(Assumptions!X$99-Project_Register!$T$8+1)/(Project_Register!$U$8-Project_Register!$T$8+1)))</f>
        <v>1</v>
      </c>
      <c r="Y27" s="112" t="n">
        <f aca="false">MIN(1,MAX(0,(Assumptions!Y$99-Project_Register!$T$8+1)/(Project_Register!$U$8-Project_Register!$T$8+1)))</f>
        <v>1</v>
      </c>
      <c r="Z27" s="112" t="n">
        <f aca="false">MIN(1,MAX(0,(Assumptions!Z$99-Project_Register!$T$8+1)/(Project_Register!$U$8-Project_Register!$T$8+1)))</f>
        <v>1</v>
      </c>
      <c r="AA27" s="112" t="n">
        <f aca="false">MIN(1,MAX(0,(Assumptions!AA$99-Project_Register!$T$8+1)/(Project_Register!$U$8-Project_Register!$T$8+1)))</f>
        <v>1</v>
      </c>
      <c r="AB27" s="112" t="n">
        <f aca="false">MIN(1,MAX(0,(Assumptions!AB$99-Project_Register!$T$8+1)/(Project_Register!$U$8-Project_Register!$T$8+1)))</f>
        <v>1</v>
      </c>
    </row>
    <row r="28" customFormat="false" ht="15" hidden="false" customHeight="false" outlineLevel="0" collapsed="false">
      <c r="A28" s="28" t="s">
        <v>907</v>
      </c>
      <c r="B28" s="58" t="s">
        <v>908</v>
      </c>
      <c r="E28" s="113" t="n">
        <f aca="false">3*E27^2-2*E27^3</f>
        <v>0.68359375</v>
      </c>
      <c r="F28" s="113" t="n">
        <f aca="false">3*F27^2-2*F27^3</f>
        <v>0.84375</v>
      </c>
      <c r="G28" s="113" t="n">
        <f aca="false">3*G27^2-2*G27^3</f>
        <v>0.95703125</v>
      </c>
      <c r="H28" s="113" t="n">
        <f aca="false">3*H27^2-2*H27^3</f>
        <v>1</v>
      </c>
      <c r="I28" s="113" t="n">
        <f aca="false">3*I27^2-2*I27^3</f>
        <v>1</v>
      </c>
      <c r="J28" s="113" t="n">
        <f aca="false">3*J27^2-2*J27^3</f>
        <v>1</v>
      </c>
      <c r="K28" s="113" t="n">
        <f aca="false">3*K27^2-2*K27^3</f>
        <v>1</v>
      </c>
      <c r="L28" s="113" t="n">
        <f aca="false">3*L27^2-2*L27^3</f>
        <v>1</v>
      </c>
      <c r="M28" s="113" t="n">
        <f aca="false">3*M27^2-2*M27^3</f>
        <v>1</v>
      </c>
      <c r="N28" s="113" t="n">
        <f aca="false">3*N27^2-2*N27^3</f>
        <v>1</v>
      </c>
      <c r="O28" s="113" t="n">
        <f aca="false">3*O27^2-2*O27^3</f>
        <v>1</v>
      </c>
      <c r="P28" s="113" t="n">
        <f aca="false">3*P27^2-2*P27^3</f>
        <v>1</v>
      </c>
      <c r="Q28" s="113" t="n">
        <f aca="false">3*Q27^2-2*Q27^3</f>
        <v>1</v>
      </c>
      <c r="R28" s="113" t="n">
        <f aca="false">3*R27^2-2*R27^3</f>
        <v>1</v>
      </c>
      <c r="S28" s="113" t="n">
        <f aca="false">3*S27^2-2*S27^3</f>
        <v>1</v>
      </c>
      <c r="T28" s="113" t="n">
        <f aca="false">3*T27^2-2*T27^3</f>
        <v>1</v>
      </c>
      <c r="U28" s="113" t="n">
        <f aca="false">3*U27^2-2*U27^3</f>
        <v>1</v>
      </c>
      <c r="V28" s="113" t="n">
        <f aca="false">3*V27^2-2*V27^3</f>
        <v>1</v>
      </c>
      <c r="W28" s="113" t="n">
        <f aca="false">3*W27^2-2*W27^3</f>
        <v>1</v>
      </c>
      <c r="X28" s="113" t="n">
        <f aca="false">3*X27^2-2*X27^3</f>
        <v>1</v>
      </c>
      <c r="Y28" s="113" t="n">
        <f aca="false">3*Y27^2-2*Y27^3</f>
        <v>1</v>
      </c>
      <c r="Z28" s="113" t="n">
        <f aca="false">3*Z27^2-2*Z27^3</f>
        <v>1</v>
      </c>
      <c r="AA28" s="113" t="n">
        <f aca="false">3*AA27^2-2*AA27^3</f>
        <v>1</v>
      </c>
      <c r="AB28" s="113" t="n">
        <f aca="false">3*AB27^2-2*AB27^3</f>
        <v>1</v>
      </c>
    </row>
    <row r="29" customFormat="false" ht="15" hidden="false" customHeight="false" outlineLevel="0" collapsed="false">
      <c r="A29" s="28" t="s">
        <v>909</v>
      </c>
      <c r="B29" s="58"/>
      <c r="E29" s="112" t="n">
        <f aca="false">3*MIN(1,MAX(0,(Assumptions!E$99-Project_Register!$T$8)/(Project_Register!$U$8-Project_Register!$T$8+1)))^2-2*MIN(1,MAX(0,(Assumptions!E$99-Project_Register!$T$8)/(Project_Register!$U$8-Project_Register!$T$8+1)))^3</f>
        <v>0.5</v>
      </c>
      <c r="F29" s="112" t="n">
        <f aca="false">3*MIN(1,MAX(0,(Assumptions!F$99-Project_Register!$T$8)/(Project_Register!$U$8-Project_Register!$T$8+1)))^2-2*MIN(1,MAX(0,(Assumptions!F$99-Project_Register!$T$8)/(Project_Register!$U$8-Project_Register!$T$8+1)))^3</f>
        <v>0.68359375</v>
      </c>
      <c r="G29" s="112" t="n">
        <f aca="false">3*MIN(1,MAX(0,(Assumptions!G$99-Project_Register!$T$8)/(Project_Register!$U$8-Project_Register!$T$8+1)))^2-2*MIN(1,MAX(0,(Assumptions!G$99-Project_Register!$T$8)/(Project_Register!$U$8-Project_Register!$T$8+1)))^3</f>
        <v>0.84375</v>
      </c>
      <c r="H29" s="112" t="n">
        <f aca="false">3*MIN(1,MAX(0,(Assumptions!H$99-Project_Register!$T$8)/(Project_Register!$U$8-Project_Register!$T$8+1)))^2-2*MIN(1,MAX(0,(Assumptions!H$99-Project_Register!$T$8)/(Project_Register!$U$8-Project_Register!$T$8+1)))^3</f>
        <v>0.95703125</v>
      </c>
      <c r="I29" s="112" t="n">
        <f aca="false">3*MIN(1,MAX(0,(Assumptions!I$99-Project_Register!$T$8)/(Project_Register!$U$8-Project_Register!$T$8+1)))^2-2*MIN(1,MAX(0,(Assumptions!I$99-Project_Register!$T$8)/(Project_Register!$U$8-Project_Register!$T$8+1)))^3</f>
        <v>1</v>
      </c>
      <c r="J29" s="112" t="n">
        <f aca="false">3*MIN(1,MAX(0,(Assumptions!J$99-Project_Register!$T$8)/(Project_Register!$U$8-Project_Register!$T$8+1)))^2-2*MIN(1,MAX(0,(Assumptions!J$99-Project_Register!$T$8)/(Project_Register!$U$8-Project_Register!$T$8+1)))^3</f>
        <v>1</v>
      </c>
      <c r="K29" s="112" t="n">
        <f aca="false">3*MIN(1,MAX(0,(Assumptions!K$99-Project_Register!$T$8)/(Project_Register!$U$8-Project_Register!$T$8+1)))^2-2*MIN(1,MAX(0,(Assumptions!K$99-Project_Register!$T$8)/(Project_Register!$U$8-Project_Register!$T$8+1)))^3</f>
        <v>1</v>
      </c>
      <c r="L29" s="112" t="n">
        <f aca="false">3*MIN(1,MAX(0,(Assumptions!L$99-Project_Register!$T$8)/(Project_Register!$U$8-Project_Register!$T$8+1)))^2-2*MIN(1,MAX(0,(Assumptions!L$99-Project_Register!$T$8)/(Project_Register!$U$8-Project_Register!$T$8+1)))^3</f>
        <v>1</v>
      </c>
      <c r="M29" s="112" t="n">
        <f aca="false">3*MIN(1,MAX(0,(Assumptions!M$99-Project_Register!$T$8)/(Project_Register!$U$8-Project_Register!$T$8+1)))^2-2*MIN(1,MAX(0,(Assumptions!M$99-Project_Register!$T$8)/(Project_Register!$U$8-Project_Register!$T$8+1)))^3</f>
        <v>1</v>
      </c>
      <c r="N29" s="112" t="n">
        <f aca="false">3*MIN(1,MAX(0,(Assumptions!N$99-Project_Register!$T$8)/(Project_Register!$U$8-Project_Register!$T$8+1)))^2-2*MIN(1,MAX(0,(Assumptions!N$99-Project_Register!$T$8)/(Project_Register!$U$8-Project_Register!$T$8+1)))^3</f>
        <v>1</v>
      </c>
      <c r="O29" s="112" t="n">
        <f aca="false">3*MIN(1,MAX(0,(Assumptions!O$99-Project_Register!$T$8)/(Project_Register!$U$8-Project_Register!$T$8+1)))^2-2*MIN(1,MAX(0,(Assumptions!O$99-Project_Register!$T$8)/(Project_Register!$U$8-Project_Register!$T$8+1)))^3</f>
        <v>1</v>
      </c>
      <c r="P29" s="112" t="n">
        <f aca="false">3*MIN(1,MAX(0,(Assumptions!P$99-Project_Register!$T$8)/(Project_Register!$U$8-Project_Register!$T$8+1)))^2-2*MIN(1,MAX(0,(Assumptions!P$99-Project_Register!$T$8)/(Project_Register!$U$8-Project_Register!$T$8+1)))^3</f>
        <v>1</v>
      </c>
      <c r="Q29" s="112" t="n">
        <f aca="false">3*MIN(1,MAX(0,(Assumptions!Q$99-Project_Register!$T$8)/(Project_Register!$U$8-Project_Register!$T$8+1)))^2-2*MIN(1,MAX(0,(Assumptions!Q$99-Project_Register!$T$8)/(Project_Register!$U$8-Project_Register!$T$8+1)))^3</f>
        <v>1</v>
      </c>
      <c r="R29" s="112" t="n">
        <f aca="false">3*MIN(1,MAX(0,(Assumptions!R$99-Project_Register!$T$8)/(Project_Register!$U$8-Project_Register!$T$8+1)))^2-2*MIN(1,MAX(0,(Assumptions!R$99-Project_Register!$T$8)/(Project_Register!$U$8-Project_Register!$T$8+1)))^3</f>
        <v>1</v>
      </c>
      <c r="S29" s="112" t="n">
        <f aca="false">3*MIN(1,MAX(0,(Assumptions!S$99-Project_Register!$T$8)/(Project_Register!$U$8-Project_Register!$T$8+1)))^2-2*MIN(1,MAX(0,(Assumptions!S$99-Project_Register!$T$8)/(Project_Register!$U$8-Project_Register!$T$8+1)))^3</f>
        <v>1</v>
      </c>
      <c r="T29" s="112" t="n">
        <f aca="false">3*MIN(1,MAX(0,(Assumptions!T$99-Project_Register!$T$8)/(Project_Register!$U$8-Project_Register!$T$8+1)))^2-2*MIN(1,MAX(0,(Assumptions!T$99-Project_Register!$T$8)/(Project_Register!$U$8-Project_Register!$T$8+1)))^3</f>
        <v>1</v>
      </c>
      <c r="U29" s="112" t="n">
        <f aca="false">3*MIN(1,MAX(0,(Assumptions!U$99-Project_Register!$T$8)/(Project_Register!$U$8-Project_Register!$T$8+1)))^2-2*MIN(1,MAX(0,(Assumptions!U$99-Project_Register!$T$8)/(Project_Register!$U$8-Project_Register!$T$8+1)))^3</f>
        <v>1</v>
      </c>
      <c r="V29" s="112" t="n">
        <f aca="false">3*MIN(1,MAX(0,(Assumptions!V$99-Project_Register!$T$8)/(Project_Register!$U$8-Project_Register!$T$8+1)))^2-2*MIN(1,MAX(0,(Assumptions!V$99-Project_Register!$T$8)/(Project_Register!$U$8-Project_Register!$T$8+1)))^3</f>
        <v>1</v>
      </c>
      <c r="W29" s="112" t="n">
        <f aca="false">3*MIN(1,MAX(0,(Assumptions!W$99-Project_Register!$T$8)/(Project_Register!$U$8-Project_Register!$T$8+1)))^2-2*MIN(1,MAX(0,(Assumptions!W$99-Project_Register!$T$8)/(Project_Register!$U$8-Project_Register!$T$8+1)))^3</f>
        <v>1</v>
      </c>
      <c r="X29" s="112" t="n">
        <f aca="false">3*MIN(1,MAX(0,(Assumptions!X$99-Project_Register!$T$8)/(Project_Register!$U$8-Project_Register!$T$8+1)))^2-2*MIN(1,MAX(0,(Assumptions!X$99-Project_Register!$T$8)/(Project_Register!$U$8-Project_Register!$T$8+1)))^3</f>
        <v>1</v>
      </c>
      <c r="Y29" s="112" t="n">
        <f aca="false">3*MIN(1,MAX(0,(Assumptions!Y$99-Project_Register!$T$8)/(Project_Register!$U$8-Project_Register!$T$8+1)))^2-2*MIN(1,MAX(0,(Assumptions!Y$99-Project_Register!$T$8)/(Project_Register!$U$8-Project_Register!$T$8+1)))^3</f>
        <v>1</v>
      </c>
      <c r="Z29" s="112" t="n">
        <f aca="false">3*MIN(1,MAX(0,(Assumptions!Z$99-Project_Register!$T$8)/(Project_Register!$U$8-Project_Register!$T$8+1)))^2-2*MIN(1,MAX(0,(Assumptions!Z$99-Project_Register!$T$8)/(Project_Register!$U$8-Project_Register!$T$8+1)))^3</f>
        <v>1</v>
      </c>
      <c r="AA29" s="112" t="n">
        <f aca="false">3*MIN(1,MAX(0,(Assumptions!AA$99-Project_Register!$T$8)/(Project_Register!$U$8-Project_Register!$T$8+1)))^2-2*MIN(1,MAX(0,(Assumptions!AA$99-Project_Register!$T$8)/(Project_Register!$U$8-Project_Register!$T$8+1)))^3</f>
        <v>1</v>
      </c>
      <c r="AB29" s="112" t="n">
        <f aca="false">3*MIN(1,MAX(0,(Assumptions!AB$99-Project_Register!$T$8)/(Project_Register!$U$8-Project_Register!$T$8+1)))^2-2*MIN(1,MAX(0,(Assumptions!AB$99-Project_Register!$T$8)/(Project_Register!$U$8-Project_Register!$T$8+1)))^3</f>
        <v>1</v>
      </c>
    </row>
    <row r="30" customFormat="false" ht="15" hidden="false" customHeight="false" outlineLevel="0" collapsed="false">
      <c r="A30" s="28" t="s">
        <v>802</v>
      </c>
      <c r="B30" s="58" t="s">
        <v>910</v>
      </c>
      <c r="C30" s="66" t="n">
        <f aca="false">SUM(E30:P30)</f>
        <v>693.2</v>
      </c>
      <c r="D30" s="66" t="n">
        <f aca="false">SUM(Q30:AB30)</f>
        <v>0</v>
      </c>
      <c r="E30" s="67" t="n">
        <f aca="false">IF(E$5="A",Inputs_Actuals!E53,IF((Project_Register!$AA$8-Project_Register!$X$8)&lt;=0,0,IF(1-Project_Register!$AC$8&lt;=0.000001,IF(Assumptions!E$99=Assumptions!$C$10+1,(Project_Register!$AA$8-Project_Register!$X$8),0),(Project_Register!$AA$8-Project_Register!$X$8)*(E28-E29)/(1-Project_Register!$AC$8))))</f>
        <v>255.6</v>
      </c>
      <c r="F30" s="67" t="n">
        <f aca="false">IF(F$5="A",Inputs_Actuals!F53,IF((Project_Register!$AA$8-Project_Register!$X$8)&lt;=0,0,IF(1-Project_Register!$AC$8&lt;=0.000001,IF(Assumptions!F$99=Assumptions!$C$10+1,(Project_Register!$AA$8-Project_Register!$X$8),0),(Project_Register!$AA$8-Project_Register!$X$8)*(F28-F29)/(1-Project_Register!$AC$8))))</f>
        <v>228.2</v>
      </c>
      <c r="G30" s="67" t="n">
        <f aca="false">IF(G$5="A",Inputs_Actuals!G53,IF((Project_Register!$AA$8-Project_Register!$X$8)&lt;=0,0,IF(1-Project_Register!$AC$8&lt;=0.000001,IF(Assumptions!G$99=Assumptions!$C$10+1,(Project_Register!$AA$8-Project_Register!$X$8),0),(Project_Register!$AA$8-Project_Register!$X$8)*(G28-G29)/(1-Project_Register!$AC$8))))</f>
        <v>150.5</v>
      </c>
      <c r="H30" s="67" t="n">
        <f aca="false">IF(H$5="A",Inputs_Actuals!H53,IF((Project_Register!$AA$8-Project_Register!$X$8)&lt;=0,0,IF(1-Project_Register!$AC$8&lt;=0.000001,IF(Assumptions!H$99=Assumptions!$C$10+1,(Project_Register!$AA$8-Project_Register!$X$8),0),(Project_Register!$AA$8-Project_Register!$X$8)*(H28-H29)/(1-Project_Register!$AC$8))))</f>
        <v>58.9</v>
      </c>
      <c r="I30" s="67" t="n">
        <f aca="false">IF(I$5="A",Inputs_Actuals!I53,IF((Project_Register!$AA$8-Project_Register!$X$8)&lt;=0,0,IF(1-Project_Register!$AC$8&lt;=0.000001,IF(Assumptions!I$99=Assumptions!$C$10+1,(Project_Register!$AA$8-Project_Register!$X$8),0),(Project_Register!$AA$8-Project_Register!$X$8)*(I28-I29)/(1-Project_Register!$AC$8))))</f>
        <v>0</v>
      </c>
      <c r="J30" s="67" t="n">
        <f aca="false">IF(J$5="A",Inputs_Actuals!J53,IF((Project_Register!$AA$8-Project_Register!$X$8)&lt;=0,0,IF(1-Project_Register!$AC$8&lt;=0.000001,IF(Assumptions!J$99=Assumptions!$C$10+1,(Project_Register!$AA$8-Project_Register!$X$8),0),(Project_Register!$AA$8-Project_Register!$X$8)*(J28-J29)/(1-Project_Register!$AC$8))))</f>
        <v>0</v>
      </c>
      <c r="K30" s="67" t="n">
        <f aca="false">IF(K$5="A",Inputs_Actuals!K53,IF((Project_Register!$AA$8-Project_Register!$X$8)&lt;=0,0,IF(1-Project_Register!$AC$8&lt;=0.000001,IF(Assumptions!K$99=Assumptions!$C$10+1,(Project_Register!$AA$8-Project_Register!$X$8),0),(Project_Register!$AA$8-Project_Register!$X$8)*(K28-K29)/(1-Project_Register!$AC$8))))</f>
        <v>0</v>
      </c>
      <c r="L30" s="67" t="n">
        <f aca="false">IF(L$5="A",Inputs_Actuals!L53,IF((Project_Register!$AA$8-Project_Register!$X$8)&lt;=0,0,IF(1-Project_Register!$AC$8&lt;=0.000001,IF(Assumptions!L$99=Assumptions!$C$10+1,(Project_Register!$AA$8-Project_Register!$X$8),0),(Project_Register!$AA$8-Project_Register!$X$8)*(L28-L29)/(1-Project_Register!$AC$8))))</f>
        <v>0</v>
      </c>
      <c r="M30" s="67" t="n">
        <f aca="false">IF(M$5="A",Inputs_Actuals!M53,IF((Project_Register!$AA$8-Project_Register!$X$8)&lt;=0,0,IF(1-Project_Register!$AC$8&lt;=0.000001,IF(Assumptions!M$99=Assumptions!$C$10+1,(Project_Register!$AA$8-Project_Register!$X$8),0),(Project_Register!$AA$8-Project_Register!$X$8)*(M28-M29)/(1-Project_Register!$AC$8))))</f>
        <v>0</v>
      </c>
      <c r="N30" s="67" t="n">
        <f aca="false">IF(N$5="A",Inputs_Actuals!N53,IF((Project_Register!$AA$8-Project_Register!$X$8)&lt;=0,0,IF(1-Project_Register!$AC$8&lt;=0.000001,IF(Assumptions!N$99=Assumptions!$C$10+1,(Project_Register!$AA$8-Project_Register!$X$8),0),(Project_Register!$AA$8-Project_Register!$X$8)*(N28-N29)/(1-Project_Register!$AC$8))))</f>
        <v>0</v>
      </c>
      <c r="O30" s="67" t="n">
        <f aca="false">IF(O$5="A",Inputs_Actuals!O53,IF((Project_Register!$AA$8-Project_Register!$X$8)&lt;=0,0,IF(1-Project_Register!$AC$8&lt;=0.000001,IF(Assumptions!O$99=Assumptions!$C$10+1,(Project_Register!$AA$8-Project_Register!$X$8),0),(Project_Register!$AA$8-Project_Register!$X$8)*(O28-O29)/(1-Project_Register!$AC$8))))</f>
        <v>0</v>
      </c>
      <c r="P30" s="67" t="n">
        <f aca="false">IF(P$5="A",Inputs_Actuals!P53,IF((Project_Register!$AA$8-Project_Register!$X$8)&lt;=0,0,IF(1-Project_Register!$AC$8&lt;=0.000001,IF(Assumptions!P$99=Assumptions!$C$10+1,(Project_Register!$AA$8-Project_Register!$X$8),0),(Project_Register!$AA$8-Project_Register!$X$8)*(P28-P29)/(1-Project_Register!$AC$8))))</f>
        <v>0</v>
      </c>
      <c r="Q30" s="67" t="n">
        <f aca="false">IF(Q$5="A",Inputs_Actuals!Q53,IF((Project_Register!$AA$8-Project_Register!$X$8)&lt;=0,0,IF(1-Project_Register!$AC$8&lt;=0.000001,IF(Assumptions!Q$99=Assumptions!$C$10+1,(Project_Register!$AA$8-Project_Register!$X$8),0),(Project_Register!$AA$8-Project_Register!$X$8)*(Q28-Q29)/(1-Project_Register!$AC$8))))</f>
        <v>0</v>
      </c>
      <c r="R30" s="67" t="n">
        <f aca="false">IF(R$5="A",Inputs_Actuals!R53,IF((Project_Register!$AA$8-Project_Register!$X$8)&lt;=0,0,IF(1-Project_Register!$AC$8&lt;=0.000001,IF(Assumptions!R$99=Assumptions!$C$10+1,(Project_Register!$AA$8-Project_Register!$X$8),0),(Project_Register!$AA$8-Project_Register!$X$8)*(R28-R29)/(1-Project_Register!$AC$8))))</f>
        <v>0</v>
      </c>
      <c r="S30" s="67" t="n">
        <f aca="false">IF(S$5="A",Inputs_Actuals!S53,IF((Project_Register!$AA$8-Project_Register!$X$8)&lt;=0,0,IF(1-Project_Register!$AC$8&lt;=0.000001,IF(Assumptions!S$99=Assumptions!$C$10+1,(Project_Register!$AA$8-Project_Register!$X$8),0),(Project_Register!$AA$8-Project_Register!$X$8)*(S28-S29)/(1-Project_Register!$AC$8))))</f>
        <v>0</v>
      </c>
      <c r="T30" s="67" t="n">
        <f aca="false">IF(T$5="A",Inputs_Actuals!T53,IF((Project_Register!$AA$8-Project_Register!$X$8)&lt;=0,0,IF(1-Project_Register!$AC$8&lt;=0.000001,IF(Assumptions!T$99=Assumptions!$C$10+1,(Project_Register!$AA$8-Project_Register!$X$8),0),(Project_Register!$AA$8-Project_Register!$X$8)*(T28-T29)/(1-Project_Register!$AC$8))))</f>
        <v>0</v>
      </c>
      <c r="U30" s="67" t="n">
        <f aca="false">IF(U$5="A",Inputs_Actuals!U53,IF((Project_Register!$AA$8-Project_Register!$X$8)&lt;=0,0,IF(1-Project_Register!$AC$8&lt;=0.000001,IF(Assumptions!U$99=Assumptions!$C$10+1,(Project_Register!$AA$8-Project_Register!$X$8),0),(Project_Register!$AA$8-Project_Register!$X$8)*(U28-U29)/(1-Project_Register!$AC$8))))</f>
        <v>0</v>
      </c>
      <c r="V30" s="67" t="n">
        <f aca="false">IF(V$5="A",Inputs_Actuals!V53,IF((Project_Register!$AA$8-Project_Register!$X$8)&lt;=0,0,IF(1-Project_Register!$AC$8&lt;=0.000001,IF(Assumptions!V$99=Assumptions!$C$10+1,(Project_Register!$AA$8-Project_Register!$X$8),0),(Project_Register!$AA$8-Project_Register!$X$8)*(V28-V29)/(1-Project_Register!$AC$8))))</f>
        <v>0</v>
      </c>
      <c r="W30" s="67" t="n">
        <f aca="false">IF(W$5="A",Inputs_Actuals!W53,IF((Project_Register!$AA$8-Project_Register!$X$8)&lt;=0,0,IF(1-Project_Register!$AC$8&lt;=0.000001,IF(Assumptions!W$99=Assumptions!$C$10+1,(Project_Register!$AA$8-Project_Register!$X$8),0),(Project_Register!$AA$8-Project_Register!$X$8)*(W28-W29)/(1-Project_Register!$AC$8))))</f>
        <v>0</v>
      </c>
      <c r="X30" s="67" t="n">
        <f aca="false">IF(X$5="A",Inputs_Actuals!X53,IF((Project_Register!$AA$8-Project_Register!$X$8)&lt;=0,0,IF(1-Project_Register!$AC$8&lt;=0.000001,IF(Assumptions!X$99=Assumptions!$C$10+1,(Project_Register!$AA$8-Project_Register!$X$8),0),(Project_Register!$AA$8-Project_Register!$X$8)*(X28-X29)/(1-Project_Register!$AC$8))))</f>
        <v>0</v>
      </c>
      <c r="Y30" s="67" t="n">
        <f aca="false">IF(Y$5="A",Inputs_Actuals!Y53,IF((Project_Register!$AA$8-Project_Register!$X$8)&lt;=0,0,IF(1-Project_Register!$AC$8&lt;=0.000001,IF(Assumptions!Y$99=Assumptions!$C$10+1,(Project_Register!$AA$8-Project_Register!$X$8),0),(Project_Register!$AA$8-Project_Register!$X$8)*(Y28-Y29)/(1-Project_Register!$AC$8))))</f>
        <v>0</v>
      </c>
      <c r="Z30" s="67" t="n">
        <f aca="false">IF(Z$5="A",Inputs_Actuals!Z53,IF((Project_Register!$AA$8-Project_Register!$X$8)&lt;=0,0,IF(1-Project_Register!$AC$8&lt;=0.000001,IF(Assumptions!Z$99=Assumptions!$C$10+1,(Project_Register!$AA$8-Project_Register!$X$8),0),(Project_Register!$AA$8-Project_Register!$X$8)*(Z28-Z29)/(1-Project_Register!$AC$8))))</f>
        <v>0</v>
      </c>
      <c r="AA30" s="67" t="n">
        <f aca="false">IF(AA$5="A",Inputs_Actuals!AA53,IF((Project_Register!$AA$8-Project_Register!$X$8)&lt;=0,0,IF(1-Project_Register!$AC$8&lt;=0.000001,IF(Assumptions!AA$99=Assumptions!$C$10+1,(Project_Register!$AA$8-Project_Register!$X$8),0),(Project_Register!$AA$8-Project_Register!$X$8)*(AA28-AA29)/(1-Project_Register!$AC$8))))</f>
        <v>0</v>
      </c>
      <c r="AB30" s="67" t="n">
        <f aca="false">IF(AB$5="A",Inputs_Actuals!AB53,IF((Project_Register!$AA$8-Project_Register!$X$8)&lt;=0,0,IF(1-Project_Register!$AC$8&lt;=0.000001,IF(Assumptions!AB$99=Assumptions!$C$10+1,(Project_Register!$AA$8-Project_Register!$X$8),0),(Project_Register!$AA$8-Project_Register!$X$8)*(AB28-AB29)/(1-Project_Register!$AC$8))))</f>
        <v>0</v>
      </c>
    </row>
    <row r="31" customFormat="false" ht="15" hidden="false" customHeight="false" outlineLevel="0" collapsed="false">
      <c r="A31" s="28" t="s">
        <v>911</v>
      </c>
      <c r="B31" s="58" t="s">
        <v>912</v>
      </c>
      <c r="C31" s="66" t="n">
        <f aca="false">P31</f>
        <v>1300</v>
      </c>
      <c r="D31" s="66" t="n">
        <f aca="false">AB31</f>
        <v>1300</v>
      </c>
      <c r="E31" s="67" t="n">
        <f aca="false">Project_Register!$P$8+E30</f>
        <v>862.4</v>
      </c>
      <c r="F31" s="72" t="n">
        <f aca="false">E31+F30</f>
        <v>1090.6</v>
      </c>
      <c r="G31" s="72" t="n">
        <f aca="false">F31+G30</f>
        <v>1241.1</v>
      </c>
      <c r="H31" s="72" t="n">
        <f aca="false">G31+H30</f>
        <v>1300</v>
      </c>
      <c r="I31" s="72" t="n">
        <f aca="false">H31+I30</f>
        <v>1300</v>
      </c>
      <c r="J31" s="72" t="n">
        <f aca="false">I31+J30</f>
        <v>1300</v>
      </c>
      <c r="K31" s="72" t="n">
        <f aca="false">J31+K30</f>
        <v>1300</v>
      </c>
      <c r="L31" s="72" t="n">
        <f aca="false">K31+L30</f>
        <v>1300</v>
      </c>
      <c r="M31" s="72" t="n">
        <f aca="false">L31+M30</f>
        <v>1300</v>
      </c>
      <c r="N31" s="72" t="n">
        <f aca="false">M31+N30</f>
        <v>1300</v>
      </c>
      <c r="O31" s="72" t="n">
        <f aca="false">N31+O30</f>
        <v>1300</v>
      </c>
      <c r="P31" s="72" t="n">
        <f aca="false">O31+P30</f>
        <v>1300</v>
      </c>
      <c r="Q31" s="72" t="n">
        <f aca="false">P31+Q30</f>
        <v>1300</v>
      </c>
      <c r="R31" s="72" t="n">
        <f aca="false">Q31+R30</f>
        <v>1300</v>
      </c>
      <c r="S31" s="72" t="n">
        <f aca="false">R31+S30</f>
        <v>1300</v>
      </c>
      <c r="T31" s="72" t="n">
        <f aca="false">S31+T30</f>
        <v>1300</v>
      </c>
      <c r="U31" s="72" t="n">
        <f aca="false">T31+U30</f>
        <v>1300</v>
      </c>
      <c r="V31" s="72" t="n">
        <f aca="false">U31+V30</f>
        <v>1300</v>
      </c>
      <c r="W31" s="72" t="n">
        <f aca="false">V31+W30</f>
        <v>1300</v>
      </c>
      <c r="X31" s="72" t="n">
        <f aca="false">W31+X30</f>
        <v>1300</v>
      </c>
      <c r="Y31" s="72" t="n">
        <f aca="false">X31+Y30</f>
        <v>1300</v>
      </c>
      <c r="Z31" s="72" t="n">
        <f aca="false">Y31+Z30</f>
        <v>1300</v>
      </c>
      <c r="AA31" s="72" t="n">
        <f aca="false">Z31+AA30</f>
        <v>1300</v>
      </c>
      <c r="AB31" s="72" t="n">
        <f aca="false">AA31+AB30</f>
        <v>1300</v>
      </c>
    </row>
    <row r="32" customFormat="false" ht="15" hidden="false" customHeight="false" outlineLevel="0" collapsed="false">
      <c r="A32" s="28" t="s">
        <v>913</v>
      </c>
      <c r="B32" s="58" t="s">
        <v>914</v>
      </c>
      <c r="C32" s="66" t="n">
        <f aca="false">P32</f>
        <v>1300</v>
      </c>
      <c r="D32" s="66" t="n">
        <f aca="false">AB32</f>
        <v>1300</v>
      </c>
      <c r="E32" s="67" t="n">
        <f aca="false">IF(E$5="A",IF(E31+N(Inputs_Actuals!E54)&lt;=0,Project_Register!$AA$8,E31+N(Inputs_Actuals!E54)),Project_Register!$AA$8)</f>
        <v>1250</v>
      </c>
      <c r="F32" s="67" t="n">
        <f aca="false">IF(F$5="A",IF(F31+N(Inputs_Actuals!F54)&lt;=0,Project_Register!$AA$8,F31+N(Inputs_Actuals!F54)),Project_Register!$AA$8)</f>
        <v>1300</v>
      </c>
      <c r="G32" s="67" t="n">
        <f aca="false">IF(G$5="A",IF(G31+N(Inputs_Actuals!G54)&lt;=0,Project_Register!$AA$8,G31+N(Inputs_Actuals!G54)),Project_Register!$AA$8)</f>
        <v>1300</v>
      </c>
      <c r="H32" s="67" t="n">
        <f aca="false">IF(H$5="A",IF(H31+N(Inputs_Actuals!H54)&lt;=0,Project_Register!$AA$8,H31+N(Inputs_Actuals!H54)),Project_Register!$AA$8)</f>
        <v>1300</v>
      </c>
      <c r="I32" s="67" t="n">
        <f aca="false">IF(I$5="A",IF(I31+N(Inputs_Actuals!I54)&lt;=0,Project_Register!$AA$8,I31+N(Inputs_Actuals!I54)),Project_Register!$AA$8)</f>
        <v>1300</v>
      </c>
      <c r="J32" s="67" t="n">
        <f aca="false">IF(J$5="A",IF(J31+N(Inputs_Actuals!J54)&lt;=0,Project_Register!$AA$8,J31+N(Inputs_Actuals!J54)),Project_Register!$AA$8)</f>
        <v>1300</v>
      </c>
      <c r="K32" s="67" t="n">
        <f aca="false">IF(K$5="A",IF(K31+N(Inputs_Actuals!K54)&lt;=0,Project_Register!$AA$8,K31+N(Inputs_Actuals!K54)),Project_Register!$AA$8)</f>
        <v>1300</v>
      </c>
      <c r="L32" s="67" t="n">
        <f aca="false">IF(L$5="A",IF(L31+N(Inputs_Actuals!L54)&lt;=0,Project_Register!$AA$8,L31+N(Inputs_Actuals!L54)),Project_Register!$AA$8)</f>
        <v>1300</v>
      </c>
      <c r="M32" s="67" t="n">
        <f aca="false">IF(M$5="A",IF(M31+N(Inputs_Actuals!M54)&lt;=0,Project_Register!$AA$8,M31+N(Inputs_Actuals!M54)),Project_Register!$AA$8)</f>
        <v>1300</v>
      </c>
      <c r="N32" s="67" t="n">
        <f aca="false">IF(N$5="A",IF(N31+N(Inputs_Actuals!N54)&lt;=0,Project_Register!$AA$8,N31+N(Inputs_Actuals!N54)),Project_Register!$AA$8)</f>
        <v>1300</v>
      </c>
      <c r="O32" s="67" t="n">
        <f aca="false">IF(O$5="A",IF(O31+N(Inputs_Actuals!O54)&lt;=0,Project_Register!$AA$8,O31+N(Inputs_Actuals!O54)),Project_Register!$AA$8)</f>
        <v>1300</v>
      </c>
      <c r="P32" s="67" t="n">
        <f aca="false">IF(P$5="A",IF(P31+N(Inputs_Actuals!P54)&lt;=0,Project_Register!$AA$8,P31+N(Inputs_Actuals!P54)),Project_Register!$AA$8)</f>
        <v>1300</v>
      </c>
      <c r="Q32" s="67" t="n">
        <f aca="false">IF(Q$5="A",IF(Q31+N(Inputs_Actuals!Q54)&lt;=0,Project_Register!$AA$8,Q31+N(Inputs_Actuals!Q54)),Project_Register!$AA$8)</f>
        <v>1300</v>
      </c>
      <c r="R32" s="67" t="n">
        <f aca="false">IF(R$5="A",IF(R31+N(Inputs_Actuals!R54)&lt;=0,Project_Register!$AA$8,R31+N(Inputs_Actuals!R54)),Project_Register!$AA$8)</f>
        <v>1300</v>
      </c>
      <c r="S32" s="67" t="n">
        <f aca="false">IF(S$5="A",IF(S31+N(Inputs_Actuals!S54)&lt;=0,Project_Register!$AA$8,S31+N(Inputs_Actuals!S54)),Project_Register!$AA$8)</f>
        <v>1300</v>
      </c>
      <c r="T32" s="67" t="n">
        <f aca="false">IF(T$5="A",IF(T31+N(Inputs_Actuals!T54)&lt;=0,Project_Register!$AA$8,T31+N(Inputs_Actuals!T54)),Project_Register!$AA$8)</f>
        <v>1300</v>
      </c>
      <c r="U32" s="67" t="n">
        <f aca="false">IF(U$5="A",IF(U31+N(Inputs_Actuals!U54)&lt;=0,Project_Register!$AA$8,U31+N(Inputs_Actuals!U54)),Project_Register!$AA$8)</f>
        <v>1300</v>
      </c>
      <c r="V32" s="67" t="n">
        <f aca="false">IF(V$5="A",IF(V31+N(Inputs_Actuals!V54)&lt;=0,Project_Register!$AA$8,V31+N(Inputs_Actuals!V54)),Project_Register!$AA$8)</f>
        <v>1300</v>
      </c>
      <c r="W32" s="67" t="n">
        <f aca="false">IF(W$5="A",IF(W31+N(Inputs_Actuals!W54)&lt;=0,Project_Register!$AA$8,W31+N(Inputs_Actuals!W54)),Project_Register!$AA$8)</f>
        <v>1300</v>
      </c>
      <c r="X32" s="67" t="n">
        <f aca="false">IF(X$5="A",IF(X31+N(Inputs_Actuals!X54)&lt;=0,Project_Register!$AA$8,X31+N(Inputs_Actuals!X54)),Project_Register!$AA$8)</f>
        <v>1300</v>
      </c>
      <c r="Y32" s="67" t="n">
        <f aca="false">IF(Y$5="A",IF(Y31+N(Inputs_Actuals!Y54)&lt;=0,Project_Register!$AA$8,Y31+N(Inputs_Actuals!Y54)),Project_Register!$AA$8)</f>
        <v>1300</v>
      </c>
      <c r="Z32" s="67" t="n">
        <f aca="false">IF(Z$5="A",IF(Z31+N(Inputs_Actuals!Z54)&lt;=0,Project_Register!$AA$8,Z31+N(Inputs_Actuals!Z54)),Project_Register!$AA$8)</f>
        <v>1300</v>
      </c>
      <c r="AA32" s="67" t="n">
        <f aca="false">IF(AA$5="A",IF(AA31+N(Inputs_Actuals!AA54)&lt;=0,Project_Register!$AA$8,AA31+N(Inputs_Actuals!AA54)),Project_Register!$AA$8)</f>
        <v>1300</v>
      </c>
      <c r="AB32" s="67" t="n">
        <f aca="false">IF(AB$5="A",IF(AB31+N(Inputs_Actuals!AB54)&lt;=0,Project_Register!$AA$8,AB31+N(Inputs_Actuals!AB54)),Project_Register!$AA$8)</f>
        <v>1300</v>
      </c>
    </row>
    <row r="33" customFormat="false" ht="15" hidden="false" customHeight="false" outlineLevel="0" collapsed="false">
      <c r="A33" s="28" t="s">
        <v>915</v>
      </c>
      <c r="B33" s="58" t="s">
        <v>916</v>
      </c>
      <c r="C33" s="61" t="n">
        <f aca="false">P33</f>
        <v>1</v>
      </c>
      <c r="D33" s="61" t="n">
        <f aca="false">AB33</f>
        <v>1</v>
      </c>
      <c r="E33" s="62" t="n">
        <f aca="false">IF(E32&lt;=0,0,MIN(1,E31/E32))</f>
        <v>0.68992</v>
      </c>
      <c r="F33" s="62" t="n">
        <f aca="false">IF(F32&lt;=0,0,MIN(1,F31/F32))</f>
        <v>0.838923076923077</v>
      </c>
      <c r="G33" s="62" t="n">
        <f aca="false">IF(G32&lt;=0,0,MIN(1,G31/G32))</f>
        <v>0.954692307692308</v>
      </c>
      <c r="H33" s="62" t="n">
        <f aca="false">IF(H32&lt;=0,0,MIN(1,H31/H32))</f>
        <v>1</v>
      </c>
      <c r="I33" s="62" t="n">
        <f aca="false">IF(I32&lt;=0,0,MIN(1,I31/I32))</f>
        <v>1</v>
      </c>
      <c r="J33" s="62" t="n">
        <f aca="false">IF(J32&lt;=0,0,MIN(1,J31/J32))</f>
        <v>1</v>
      </c>
      <c r="K33" s="62" t="n">
        <f aca="false">IF(K32&lt;=0,0,MIN(1,K31/K32))</f>
        <v>1</v>
      </c>
      <c r="L33" s="62" t="n">
        <f aca="false">IF(L32&lt;=0,0,MIN(1,L31/L32))</f>
        <v>1</v>
      </c>
      <c r="M33" s="62" t="n">
        <f aca="false">IF(M32&lt;=0,0,MIN(1,M31/M32))</f>
        <v>1</v>
      </c>
      <c r="N33" s="62" t="n">
        <f aca="false">IF(N32&lt;=0,0,MIN(1,N31/N32))</f>
        <v>1</v>
      </c>
      <c r="O33" s="62" t="n">
        <f aca="false">IF(O32&lt;=0,0,MIN(1,O31/O32))</f>
        <v>1</v>
      </c>
      <c r="P33" s="62" t="n">
        <f aca="false">IF(P32&lt;=0,0,MIN(1,P31/P32))</f>
        <v>1</v>
      </c>
      <c r="Q33" s="62" t="n">
        <f aca="false">IF(Q32&lt;=0,0,MIN(1,Q31/Q32))</f>
        <v>1</v>
      </c>
      <c r="R33" s="62" t="n">
        <f aca="false">IF(R32&lt;=0,0,MIN(1,R31/R32))</f>
        <v>1</v>
      </c>
      <c r="S33" s="62" t="n">
        <f aca="false">IF(S32&lt;=0,0,MIN(1,S31/S32))</f>
        <v>1</v>
      </c>
      <c r="T33" s="62" t="n">
        <f aca="false">IF(T32&lt;=0,0,MIN(1,T31/T32))</f>
        <v>1</v>
      </c>
      <c r="U33" s="62" t="n">
        <f aca="false">IF(U32&lt;=0,0,MIN(1,U31/U32))</f>
        <v>1</v>
      </c>
      <c r="V33" s="62" t="n">
        <f aca="false">IF(V32&lt;=0,0,MIN(1,V31/V32))</f>
        <v>1</v>
      </c>
      <c r="W33" s="62" t="n">
        <f aca="false">IF(W32&lt;=0,0,MIN(1,W31/W32))</f>
        <v>1</v>
      </c>
      <c r="X33" s="62" t="n">
        <f aca="false">IF(X32&lt;=0,0,MIN(1,X31/X32))</f>
        <v>1</v>
      </c>
      <c r="Y33" s="62" t="n">
        <f aca="false">IF(Y32&lt;=0,0,MIN(1,Y31/Y32))</f>
        <v>1</v>
      </c>
      <c r="Z33" s="62" t="n">
        <f aca="false">IF(Z32&lt;=0,0,MIN(1,Z31/Z32))</f>
        <v>1</v>
      </c>
      <c r="AA33" s="62" t="n">
        <f aca="false">IF(AA32&lt;=0,0,MIN(1,AA31/AA32))</f>
        <v>1</v>
      </c>
      <c r="AB33" s="62" t="n">
        <f aca="false">IF(AB32&lt;=0,0,MIN(1,AB31/AB32))</f>
        <v>1</v>
      </c>
    </row>
    <row r="34" customFormat="false" ht="15" hidden="false" customHeight="false" outlineLevel="0" collapsed="false">
      <c r="A34" s="28" t="s">
        <v>917</v>
      </c>
      <c r="B34" s="58" t="s">
        <v>918</v>
      </c>
      <c r="C34" s="59" t="n">
        <f aca="false">P34</f>
        <v>120000</v>
      </c>
      <c r="D34" s="59" t="n">
        <f aca="false">AB34</f>
        <v>120000</v>
      </c>
      <c r="E34" s="60" t="n">
        <f aca="false">IF(E$5="A",N(Inputs_Actuals!E55),Project_Register!$W$8)</f>
        <v>120000</v>
      </c>
      <c r="F34" s="60" t="n">
        <f aca="false">IF(F$5="A",N(Inputs_Actuals!F55),Project_Register!$W$8)</f>
        <v>120000</v>
      </c>
      <c r="G34" s="60" t="n">
        <f aca="false">IF(G$5="A",N(Inputs_Actuals!G55),Project_Register!$W$8)</f>
        <v>120000</v>
      </c>
      <c r="H34" s="60" t="n">
        <f aca="false">IF(H$5="A",N(Inputs_Actuals!H55),Project_Register!$W$8)</f>
        <v>120000</v>
      </c>
      <c r="I34" s="60" t="n">
        <f aca="false">IF(I$5="A",N(Inputs_Actuals!I55),Project_Register!$W$8)</f>
        <v>120000</v>
      </c>
      <c r="J34" s="60" t="n">
        <f aca="false">IF(J$5="A",N(Inputs_Actuals!J55),Project_Register!$W$8)</f>
        <v>120000</v>
      </c>
      <c r="K34" s="60" t="n">
        <f aca="false">IF(K$5="A",N(Inputs_Actuals!K55),Project_Register!$W$8)</f>
        <v>120000</v>
      </c>
      <c r="L34" s="60" t="n">
        <f aca="false">IF(L$5="A",N(Inputs_Actuals!L55),Project_Register!$W$8)</f>
        <v>120000</v>
      </c>
      <c r="M34" s="60" t="n">
        <f aca="false">IF(M$5="A",N(Inputs_Actuals!M55),Project_Register!$W$8)</f>
        <v>120000</v>
      </c>
      <c r="N34" s="60" t="n">
        <f aca="false">IF(N$5="A",N(Inputs_Actuals!N55),Project_Register!$W$8)</f>
        <v>120000</v>
      </c>
      <c r="O34" s="60" t="n">
        <f aca="false">IF(O$5="A",N(Inputs_Actuals!O55),Project_Register!$W$8)</f>
        <v>120000</v>
      </c>
      <c r="P34" s="60" t="n">
        <f aca="false">IF(P$5="A",N(Inputs_Actuals!P55),Project_Register!$W$8)</f>
        <v>120000</v>
      </c>
      <c r="Q34" s="60" t="n">
        <f aca="false">IF(Q$5="A",N(Inputs_Actuals!Q55),Project_Register!$W$8)</f>
        <v>120000</v>
      </c>
      <c r="R34" s="60" t="n">
        <f aca="false">IF(R$5="A",N(Inputs_Actuals!R55),Project_Register!$W$8)</f>
        <v>120000</v>
      </c>
      <c r="S34" s="60" t="n">
        <f aca="false">IF(S$5="A",N(Inputs_Actuals!S55),Project_Register!$W$8)</f>
        <v>120000</v>
      </c>
      <c r="T34" s="60" t="n">
        <f aca="false">IF(T$5="A",N(Inputs_Actuals!T55),Project_Register!$W$8)</f>
        <v>120000</v>
      </c>
      <c r="U34" s="60" t="n">
        <f aca="false">IF(U$5="A",N(Inputs_Actuals!U55),Project_Register!$W$8)</f>
        <v>120000</v>
      </c>
      <c r="V34" s="60" t="n">
        <f aca="false">IF(V$5="A",N(Inputs_Actuals!V55),Project_Register!$W$8)</f>
        <v>120000</v>
      </c>
      <c r="W34" s="60" t="n">
        <f aca="false">IF(W$5="A",N(Inputs_Actuals!W55),Project_Register!$W$8)</f>
        <v>120000</v>
      </c>
      <c r="X34" s="60" t="n">
        <f aca="false">IF(X$5="A",N(Inputs_Actuals!X55),Project_Register!$W$8)</f>
        <v>120000</v>
      </c>
      <c r="Y34" s="60" t="n">
        <f aca="false">IF(Y$5="A",N(Inputs_Actuals!Y55),Project_Register!$W$8)</f>
        <v>120000</v>
      </c>
      <c r="Z34" s="60" t="n">
        <f aca="false">IF(Z$5="A",N(Inputs_Actuals!Z55),Project_Register!$W$8)</f>
        <v>120000</v>
      </c>
      <c r="AA34" s="60" t="n">
        <f aca="false">IF(AA$5="A",N(Inputs_Actuals!AA55),Project_Register!$W$8)</f>
        <v>120000</v>
      </c>
      <c r="AB34" s="60" t="n">
        <f aca="false">IF(AB$5="A",N(Inputs_Actuals!AB55),Project_Register!$W$8)</f>
        <v>120000</v>
      </c>
    </row>
    <row r="35" customFormat="false" ht="15" hidden="false" customHeight="false" outlineLevel="0" collapsed="false">
      <c r="A35" s="28" t="s">
        <v>919</v>
      </c>
      <c r="B35" s="58" t="s">
        <v>920</v>
      </c>
      <c r="C35" s="59" t="n">
        <f aca="false">P35</f>
        <v>120000</v>
      </c>
      <c r="D35" s="59" t="n">
        <f aca="false">AB35</f>
        <v>120000</v>
      </c>
      <c r="E35" s="60" t="n">
        <f aca="false">IF(E$5="A",Project_Register!$Q$8+Inputs_Actuals!E56,E33*E34)</f>
        <v>82790.4</v>
      </c>
      <c r="F35" s="60" t="n">
        <f aca="false">IF(F$5="A",E35+Inputs_Actuals!F56,F33*F34)</f>
        <v>100670.77</v>
      </c>
      <c r="G35" s="60" t="n">
        <f aca="false">IF(G$5="A",F35+Inputs_Actuals!G56,G33*G34)</f>
        <v>114563.08</v>
      </c>
      <c r="H35" s="60" t="n">
        <f aca="false">IF(H$5="A",G35+Inputs_Actuals!H56,H33*H34)</f>
        <v>120000</v>
      </c>
      <c r="I35" s="60" t="n">
        <f aca="false">IF(I$5="A",H35+Inputs_Actuals!I56,I33*I34)</f>
        <v>120000</v>
      </c>
      <c r="J35" s="60" t="n">
        <f aca="false">IF(J$5="A",I35+Inputs_Actuals!J56,J33*J34)</f>
        <v>120000</v>
      </c>
      <c r="K35" s="60" t="n">
        <f aca="false">IF(K$5="A",J35+Inputs_Actuals!K56,K33*K34)</f>
        <v>120000</v>
      </c>
      <c r="L35" s="60" t="n">
        <f aca="false">IF(L$5="A",K35+Inputs_Actuals!L56,L33*L34)</f>
        <v>120000</v>
      </c>
      <c r="M35" s="60" t="n">
        <f aca="false">IF(M$5="A",L35+Inputs_Actuals!M56,M33*M34)</f>
        <v>120000</v>
      </c>
      <c r="N35" s="60" t="n">
        <f aca="false">IF(N$5="A",M35+Inputs_Actuals!N56,N33*N34)</f>
        <v>120000</v>
      </c>
      <c r="O35" s="60" t="n">
        <f aca="false">IF(O$5="A",N35+Inputs_Actuals!O56,O33*O34)</f>
        <v>120000</v>
      </c>
      <c r="P35" s="60" t="n">
        <f aca="false">IF(P$5="A",O35+Inputs_Actuals!P56,P33*P34)</f>
        <v>120000</v>
      </c>
      <c r="Q35" s="60" t="n">
        <f aca="false">IF(Q$5="A",P35+Inputs_Actuals!Q56,Q33*Q34)</f>
        <v>120000</v>
      </c>
      <c r="R35" s="60" t="n">
        <f aca="false">IF(R$5="A",Q35+Inputs_Actuals!R56,R33*R34)</f>
        <v>120000</v>
      </c>
      <c r="S35" s="60" t="n">
        <f aca="false">IF(S$5="A",R35+Inputs_Actuals!S56,S33*S34)</f>
        <v>120000</v>
      </c>
      <c r="T35" s="60" t="n">
        <f aca="false">IF(T$5="A",S35+Inputs_Actuals!T56,T33*T34)</f>
        <v>120000</v>
      </c>
      <c r="U35" s="60" t="n">
        <f aca="false">IF(U$5="A",T35+Inputs_Actuals!U56,U33*U34)</f>
        <v>120000</v>
      </c>
      <c r="V35" s="60" t="n">
        <f aca="false">IF(V$5="A",U35+Inputs_Actuals!V56,V33*V34)</f>
        <v>120000</v>
      </c>
      <c r="W35" s="60" t="n">
        <f aca="false">IF(W$5="A",V35+Inputs_Actuals!W56,W33*W34)</f>
        <v>120000</v>
      </c>
      <c r="X35" s="60" t="n">
        <f aca="false">IF(X$5="A",W35+Inputs_Actuals!X56,X33*X34)</f>
        <v>120000</v>
      </c>
      <c r="Y35" s="60" t="n">
        <f aca="false">IF(Y$5="A",X35+Inputs_Actuals!Y56,Y33*Y34)</f>
        <v>120000</v>
      </c>
      <c r="Z35" s="60" t="n">
        <f aca="false">IF(Z$5="A",Y35+Inputs_Actuals!Z56,Z33*Z34)</f>
        <v>120000</v>
      </c>
      <c r="AA35" s="60" t="n">
        <f aca="false">IF(AA$5="A",Z35+Inputs_Actuals!AA56,AA33*AA34)</f>
        <v>120000</v>
      </c>
      <c r="AB35" s="60" t="n">
        <f aca="false">IF(AB$5="A",AA35+Inputs_Actuals!AB56,AB33*AB34)</f>
        <v>120000</v>
      </c>
    </row>
    <row r="36" customFormat="false" ht="15" hidden="false" customHeight="false" outlineLevel="0" collapsed="false">
      <c r="A36" s="68" t="s">
        <v>934</v>
      </c>
      <c r="B36" s="69" t="s">
        <v>922</v>
      </c>
      <c r="C36" s="70" t="n">
        <f aca="false">SUM(E36:P36)</f>
        <v>61747.2</v>
      </c>
      <c r="D36" s="70" t="n">
        <f aca="false">SUM(Q36:AB36)</f>
        <v>0</v>
      </c>
      <c r="E36" s="74" t="n">
        <f aca="false">E35-Project_Register!$Q$8</f>
        <v>24537.6</v>
      </c>
      <c r="F36" s="70" t="n">
        <f aca="false">F35-E35</f>
        <v>17880.37</v>
      </c>
      <c r="G36" s="70" t="n">
        <f aca="false">G35-F35</f>
        <v>13892.31</v>
      </c>
      <c r="H36" s="70" t="n">
        <f aca="false">H35-G35</f>
        <v>5436.92</v>
      </c>
      <c r="I36" s="70" t="n">
        <f aca="false">I35-H35</f>
        <v>0</v>
      </c>
      <c r="J36" s="70" t="n">
        <f aca="false">J35-I35</f>
        <v>0</v>
      </c>
      <c r="K36" s="70" t="n">
        <f aca="false">K35-J35</f>
        <v>0</v>
      </c>
      <c r="L36" s="70" t="n">
        <f aca="false">L35-K35</f>
        <v>0</v>
      </c>
      <c r="M36" s="70" t="n">
        <f aca="false">M35-L35</f>
        <v>0</v>
      </c>
      <c r="N36" s="70" t="n">
        <f aca="false">N35-M35</f>
        <v>0</v>
      </c>
      <c r="O36" s="70" t="n">
        <f aca="false">O35-N35</f>
        <v>0</v>
      </c>
      <c r="P36" s="70" t="n">
        <f aca="false">P35-O35</f>
        <v>0</v>
      </c>
      <c r="Q36" s="70" t="n">
        <f aca="false">Q35-P35</f>
        <v>0</v>
      </c>
      <c r="R36" s="70" t="n">
        <f aca="false">R35-Q35</f>
        <v>0</v>
      </c>
      <c r="S36" s="70" t="n">
        <f aca="false">S35-R35</f>
        <v>0</v>
      </c>
      <c r="T36" s="70" t="n">
        <f aca="false">T35-S35</f>
        <v>0</v>
      </c>
      <c r="U36" s="70" t="n">
        <f aca="false">U35-T35</f>
        <v>0</v>
      </c>
      <c r="V36" s="70" t="n">
        <f aca="false">V35-U35</f>
        <v>0</v>
      </c>
      <c r="W36" s="70" t="n">
        <f aca="false">W35-V35</f>
        <v>0</v>
      </c>
      <c r="X36" s="70" t="n">
        <f aca="false">X35-W35</f>
        <v>0</v>
      </c>
      <c r="Y36" s="70" t="n">
        <f aca="false">Y35-X35</f>
        <v>0</v>
      </c>
      <c r="Z36" s="70" t="n">
        <f aca="false">Z35-Y35</f>
        <v>0</v>
      </c>
      <c r="AA36" s="70" t="n">
        <f aca="false">AA35-Z35</f>
        <v>0</v>
      </c>
      <c r="AB36" s="70" t="n">
        <f aca="false">AB35-AA35</f>
        <v>0</v>
      </c>
    </row>
    <row r="37" customFormat="false" ht="15" hidden="false" customHeight="false" outlineLevel="0" collapsed="false">
      <c r="A37" s="28" t="s">
        <v>923</v>
      </c>
      <c r="B37" s="58" t="s">
        <v>924</v>
      </c>
      <c r="C37" s="59" t="n">
        <f aca="false">P37</f>
        <v>120000</v>
      </c>
      <c r="D37" s="59" t="n">
        <f aca="false">AB37</f>
        <v>120000</v>
      </c>
      <c r="E37" s="60" t="n">
        <f aca="false">E34*(Assumptions!$C$71*(Assumptions!E$99&gt;=Project_Register!$T$8)+Assumptions!$C$72*(Assumptions!E$99&gt;=Project_Register!$V$8)+Assumptions!$C$73*(Assumptions!E$99&gt;=Project_Register!$U$8))</f>
        <v>84000</v>
      </c>
      <c r="F37" s="60" t="n">
        <f aca="false">F34*(Assumptions!$C$71*(Assumptions!F$99&gt;=Project_Register!$T$8)+Assumptions!$C$72*(Assumptions!F$99&gt;=Project_Register!$V$8)+Assumptions!$C$73*(Assumptions!F$99&gt;=Project_Register!$U$8))</f>
        <v>84000</v>
      </c>
      <c r="G37" s="60" t="n">
        <f aca="false">G34*(Assumptions!$C$71*(Assumptions!G$99&gt;=Project_Register!$T$8)+Assumptions!$C$72*(Assumptions!G$99&gt;=Project_Register!$V$8)+Assumptions!$C$73*(Assumptions!G$99&gt;=Project_Register!$U$8))</f>
        <v>84000</v>
      </c>
      <c r="H37" s="60" t="n">
        <f aca="false">H34*(Assumptions!$C$71*(Assumptions!H$99&gt;=Project_Register!$T$8)+Assumptions!$C$72*(Assumptions!H$99&gt;=Project_Register!$V$8)+Assumptions!$C$73*(Assumptions!H$99&gt;=Project_Register!$U$8))</f>
        <v>120000</v>
      </c>
      <c r="I37" s="60" t="n">
        <f aca="false">I34*(Assumptions!$C$71*(Assumptions!I$99&gt;=Project_Register!$T$8)+Assumptions!$C$72*(Assumptions!I$99&gt;=Project_Register!$V$8)+Assumptions!$C$73*(Assumptions!I$99&gt;=Project_Register!$U$8))</f>
        <v>120000</v>
      </c>
      <c r="J37" s="60" t="n">
        <f aca="false">J34*(Assumptions!$C$71*(Assumptions!J$99&gt;=Project_Register!$T$8)+Assumptions!$C$72*(Assumptions!J$99&gt;=Project_Register!$V$8)+Assumptions!$C$73*(Assumptions!J$99&gt;=Project_Register!$U$8))</f>
        <v>120000</v>
      </c>
      <c r="K37" s="60" t="n">
        <f aca="false">K34*(Assumptions!$C$71*(Assumptions!K$99&gt;=Project_Register!$T$8)+Assumptions!$C$72*(Assumptions!K$99&gt;=Project_Register!$V$8)+Assumptions!$C$73*(Assumptions!K$99&gt;=Project_Register!$U$8))</f>
        <v>120000</v>
      </c>
      <c r="L37" s="60" t="n">
        <f aca="false">L34*(Assumptions!$C$71*(Assumptions!L$99&gt;=Project_Register!$T$8)+Assumptions!$C$72*(Assumptions!L$99&gt;=Project_Register!$V$8)+Assumptions!$C$73*(Assumptions!L$99&gt;=Project_Register!$U$8))</f>
        <v>120000</v>
      </c>
      <c r="M37" s="60" t="n">
        <f aca="false">M34*(Assumptions!$C$71*(Assumptions!M$99&gt;=Project_Register!$T$8)+Assumptions!$C$72*(Assumptions!M$99&gt;=Project_Register!$V$8)+Assumptions!$C$73*(Assumptions!M$99&gt;=Project_Register!$U$8))</f>
        <v>120000</v>
      </c>
      <c r="N37" s="60" t="n">
        <f aca="false">N34*(Assumptions!$C$71*(Assumptions!N$99&gt;=Project_Register!$T$8)+Assumptions!$C$72*(Assumptions!N$99&gt;=Project_Register!$V$8)+Assumptions!$C$73*(Assumptions!N$99&gt;=Project_Register!$U$8))</f>
        <v>120000</v>
      </c>
      <c r="O37" s="60" t="n">
        <f aca="false">O34*(Assumptions!$C$71*(Assumptions!O$99&gt;=Project_Register!$T$8)+Assumptions!$C$72*(Assumptions!O$99&gt;=Project_Register!$V$8)+Assumptions!$C$73*(Assumptions!O$99&gt;=Project_Register!$U$8))</f>
        <v>120000</v>
      </c>
      <c r="P37" s="60" t="n">
        <f aca="false">P34*(Assumptions!$C$71*(Assumptions!P$99&gt;=Project_Register!$T$8)+Assumptions!$C$72*(Assumptions!P$99&gt;=Project_Register!$V$8)+Assumptions!$C$73*(Assumptions!P$99&gt;=Project_Register!$U$8))</f>
        <v>120000</v>
      </c>
      <c r="Q37" s="60" t="n">
        <f aca="false">Q34*(Assumptions!$C$71*(Assumptions!Q$99&gt;=Project_Register!$T$8)+Assumptions!$C$72*(Assumptions!Q$99&gt;=Project_Register!$V$8)+Assumptions!$C$73*(Assumptions!Q$99&gt;=Project_Register!$U$8))</f>
        <v>120000</v>
      </c>
      <c r="R37" s="60" t="n">
        <f aca="false">R34*(Assumptions!$C$71*(Assumptions!R$99&gt;=Project_Register!$T$8)+Assumptions!$C$72*(Assumptions!R$99&gt;=Project_Register!$V$8)+Assumptions!$C$73*(Assumptions!R$99&gt;=Project_Register!$U$8))</f>
        <v>120000</v>
      </c>
      <c r="S37" s="60" t="n">
        <f aca="false">S34*(Assumptions!$C$71*(Assumptions!S$99&gt;=Project_Register!$T$8)+Assumptions!$C$72*(Assumptions!S$99&gt;=Project_Register!$V$8)+Assumptions!$C$73*(Assumptions!S$99&gt;=Project_Register!$U$8))</f>
        <v>120000</v>
      </c>
      <c r="T37" s="60" t="n">
        <f aca="false">T34*(Assumptions!$C$71*(Assumptions!T$99&gt;=Project_Register!$T$8)+Assumptions!$C$72*(Assumptions!T$99&gt;=Project_Register!$V$8)+Assumptions!$C$73*(Assumptions!T$99&gt;=Project_Register!$U$8))</f>
        <v>120000</v>
      </c>
      <c r="U37" s="60" t="n">
        <f aca="false">U34*(Assumptions!$C$71*(Assumptions!U$99&gt;=Project_Register!$T$8)+Assumptions!$C$72*(Assumptions!U$99&gt;=Project_Register!$V$8)+Assumptions!$C$73*(Assumptions!U$99&gt;=Project_Register!$U$8))</f>
        <v>120000</v>
      </c>
      <c r="V37" s="60" t="n">
        <f aca="false">V34*(Assumptions!$C$71*(Assumptions!V$99&gt;=Project_Register!$T$8)+Assumptions!$C$72*(Assumptions!V$99&gt;=Project_Register!$V$8)+Assumptions!$C$73*(Assumptions!V$99&gt;=Project_Register!$U$8))</f>
        <v>120000</v>
      </c>
      <c r="W37" s="60" t="n">
        <f aca="false">W34*(Assumptions!$C$71*(Assumptions!W$99&gt;=Project_Register!$T$8)+Assumptions!$C$72*(Assumptions!W$99&gt;=Project_Register!$V$8)+Assumptions!$C$73*(Assumptions!W$99&gt;=Project_Register!$U$8))</f>
        <v>120000</v>
      </c>
      <c r="X37" s="60" t="n">
        <f aca="false">X34*(Assumptions!$C$71*(Assumptions!X$99&gt;=Project_Register!$T$8)+Assumptions!$C$72*(Assumptions!X$99&gt;=Project_Register!$V$8)+Assumptions!$C$73*(Assumptions!X$99&gt;=Project_Register!$U$8))</f>
        <v>120000</v>
      </c>
      <c r="Y37" s="60" t="n">
        <f aca="false">Y34*(Assumptions!$C$71*(Assumptions!Y$99&gt;=Project_Register!$T$8)+Assumptions!$C$72*(Assumptions!Y$99&gt;=Project_Register!$V$8)+Assumptions!$C$73*(Assumptions!Y$99&gt;=Project_Register!$U$8))</f>
        <v>120000</v>
      </c>
      <c r="Z37" s="60" t="n">
        <f aca="false">Z34*(Assumptions!$C$71*(Assumptions!Z$99&gt;=Project_Register!$T$8)+Assumptions!$C$72*(Assumptions!Z$99&gt;=Project_Register!$V$8)+Assumptions!$C$73*(Assumptions!Z$99&gt;=Project_Register!$U$8))</f>
        <v>120000</v>
      </c>
      <c r="AA37" s="60" t="n">
        <f aca="false">AA34*(Assumptions!$C$71*(Assumptions!AA$99&gt;=Project_Register!$T$8)+Assumptions!$C$72*(Assumptions!AA$99&gt;=Project_Register!$V$8)+Assumptions!$C$73*(Assumptions!AA$99&gt;=Project_Register!$U$8))</f>
        <v>120000</v>
      </c>
      <c r="AB37" s="60" t="n">
        <f aca="false">AB34*(Assumptions!$C$71*(Assumptions!AB$99&gt;=Project_Register!$T$8)+Assumptions!$C$72*(Assumptions!AB$99&gt;=Project_Register!$V$8)+Assumptions!$C$73*(Assumptions!AB$99&gt;=Project_Register!$U$8))</f>
        <v>120000</v>
      </c>
    </row>
    <row r="38" customFormat="false" ht="15" hidden="false" customHeight="false" outlineLevel="0" collapsed="false">
      <c r="A38" s="28" t="s">
        <v>925</v>
      </c>
      <c r="B38" s="58" t="s">
        <v>926</v>
      </c>
      <c r="C38" s="59" t="n">
        <f aca="false">SUM(E38:P38)</f>
        <v>84000</v>
      </c>
      <c r="D38" s="59" t="n">
        <f aca="false">SUM(Q38:AB38)</f>
        <v>0</v>
      </c>
      <c r="E38" s="60" t="n">
        <f aca="false">IF(E$5="A",Inputs_Actuals!E57,MAX(0,E37-Project_Register!$R$8))</f>
        <v>48000</v>
      </c>
      <c r="F38" s="60" t="n">
        <f aca="false">IF(F$5="A",Inputs_Actuals!F57,MAX(0,F37-E39))</f>
        <v>0</v>
      </c>
      <c r="G38" s="60" t="n">
        <f aca="false">IF(G$5="A",Inputs_Actuals!G57,MAX(0,G37-F39))</f>
        <v>0</v>
      </c>
      <c r="H38" s="60" t="n">
        <f aca="false">IF(H$5="A",Inputs_Actuals!H57,MAX(0,H37-G39))</f>
        <v>36000</v>
      </c>
      <c r="I38" s="60" t="n">
        <f aca="false">IF(I$5="A",Inputs_Actuals!I57,MAX(0,I37-H39))</f>
        <v>0</v>
      </c>
      <c r="J38" s="60" t="n">
        <f aca="false">IF(J$5="A",Inputs_Actuals!J57,MAX(0,J37-I39))</f>
        <v>0</v>
      </c>
      <c r="K38" s="60" t="n">
        <f aca="false">IF(K$5="A",Inputs_Actuals!K57,MAX(0,K37-J39))</f>
        <v>0</v>
      </c>
      <c r="L38" s="60" t="n">
        <f aca="false">IF(L$5="A",Inputs_Actuals!L57,MAX(0,L37-K39))</f>
        <v>0</v>
      </c>
      <c r="M38" s="60" t="n">
        <f aca="false">IF(M$5="A",Inputs_Actuals!M57,MAX(0,M37-L39))</f>
        <v>0</v>
      </c>
      <c r="N38" s="60" t="n">
        <f aca="false">IF(N$5="A",Inputs_Actuals!N57,MAX(0,N37-M39))</f>
        <v>0</v>
      </c>
      <c r="O38" s="60" t="n">
        <f aca="false">IF(O$5="A",Inputs_Actuals!O57,MAX(0,O37-N39))</f>
        <v>0</v>
      </c>
      <c r="P38" s="60" t="n">
        <f aca="false">IF(P$5="A",Inputs_Actuals!P57,MAX(0,P37-O39))</f>
        <v>0</v>
      </c>
      <c r="Q38" s="60" t="n">
        <f aca="false">IF(Q$5="A",Inputs_Actuals!Q57,MAX(0,Q37-P39))</f>
        <v>0</v>
      </c>
      <c r="R38" s="60" t="n">
        <f aca="false">IF(R$5="A",Inputs_Actuals!R57,MAX(0,R37-Q39))</f>
        <v>0</v>
      </c>
      <c r="S38" s="60" t="n">
        <f aca="false">IF(S$5="A",Inputs_Actuals!S57,MAX(0,S37-R39))</f>
        <v>0</v>
      </c>
      <c r="T38" s="60" t="n">
        <f aca="false">IF(T$5="A",Inputs_Actuals!T57,MAX(0,T37-S39))</f>
        <v>0</v>
      </c>
      <c r="U38" s="60" t="n">
        <f aca="false">IF(U$5="A",Inputs_Actuals!U57,MAX(0,U37-T39))</f>
        <v>0</v>
      </c>
      <c r="V38" s="60" t="n">
        <f aca="false">IF(V$5="A",Inputs_Actuals!V57,MAX(0,V37-U39))</f>
        <v>0</v>
      </c>
      <c r="W38" s="60" t="n">
        <f aca="false">IF(W$5="A",Inputs_Actuals!W57,MAX(0,W37-V39))</f>
        <v>0</v>
      </c>
      <c r="X38" s="60" t="n">
        <f aca="false">IF(X$5="A",Inputs_Actuals!X57,MAX(0,X37-W39))</f>
        <v>0</v>
      </c>
      <c r="Y38" s="60" t="n">
        <f aca="false">IF(Y$5="A",Inputs_Actuals!Y57,MAX(0,Y37-X39))</f>
        <v>0</v>
      </c>
      <c r="Z38" s="60" t="n">
        <f aca="false">IF(Z$5="A",Inputs_Actuals!Z57,MAX(0,Z37-Y39))</f>
        <v>0</v>
      </c>
      <c r="AA38" s="60" t="n">
        <f aca="false">IF(AA$5="A",Inputs_Actuals!AA57,MAX(0,AA37-Z39))</f>
        <v>0</v>
      </c>
      <c r="AB38" s="60" t="n">
        <f aca="false">IF(AB$5="A",Inputs_Actuals!AB57,MAX(0,AB37-AA39))</f>
        <v>0</v>
      </c>
    </row>
    <row r="39" customFormat="false" ht="15" hidden="false" customHeight="false" outlineLevel="0" collapsed="false">
      <c r="A39" s="28" t="s">
        <v>927</v>
      </c>
      <c r="B39" s="58"/>
      <c r="C39" s="59" t="n">
        <f aca="false">P39</f>
        <v>120000</v>
      </c>
      <c r="D39" s="59" t="n">
        <f aca="false">AB39</f>
        <v>120000</v>
      </c>
      <c r="E39" s="60" t="n">
        <f aca="false">Project_Register!$R$8+E38</f>
        <v>84000</v>
      </c>
      <c r="F39" s="71" t="n">
        <f aca="false">E39+F38</f>
        <v>84000</v>
      </c>
      <c r="G39" s="71" t="n">
        <f aca="false">F39+G38</f>
        <v>84000</v>
      </c>
      <c r="H39" s="71" t="n">
        <f aca="false">G39+H38</f>
        <v>120000</v>
      </c>
      <c r="I39" s="71" t="n">
        <f aca="false">H39+I38</f>
        <v>120000</v>
      </c>
      <c r="J39" s="71" t="n">
        <f aca="false">I39+J38</f>
        <v>120000</v>
      </c>
      <c r="K39" s="71" t="n">
        <f aca="false">J39+K38</f>
        <v>120000</v>
      </c>
      <c r="L39" s="71" t="n">
        <f aca="false">K39+L38</f>
        <v>120000</v>
      </c>
      <c r="M39" s="71" t="n">
        <f aca="false">L39+M38</f>
        <v>120000</v>
      </c>
      <c r="N39" s="71" t="n">
        <f aca="false">M39+N38</f>
        <v>120000</v>
      </c>
      <c r="O39" s="71" t="n">
        <f aca="false">N39+O38</f>
        <v>120000</v>
      </c>
      <c r="P39" s="71" t="n">
        <f aca="false">O39+P38</f>
        <v>120000</v>
      </c>
      <c r="Q39" s="71" t="n">
        <f aca="false">P39+Q38</f>
        <v>120000</v>
      </c>
      <c r="R39" s="71" t="n">
        <f aca="false">Q39+R38</f>
        <v>120000</v>
      </c>
      <c r="S39" s="71" t="n">
        <f aca="false">R39+S38</f>
        <v>120000</v>
      </c>
      <c r="T39" s="71" t="n">
        <f aca="false">S39+T38</f>
        <v>120000</v>
      </c>
      <c r="U39" s="71" t="n">
        <f aca="false">T39+U38</f>
        <v>120000</v>
      </c>
      <c r="V39" s="71" t="n">
        <f aca="false">U39+V38</f>
        <v>120000</v>
      </c>
      <c r="W39" s="71" t="n">
        <f aca="false">V39+W38</f>
        <v>120000</v>
      </c>
      <c r="X39" s="71" t="n">
        <f aca="false">W39+X38</f>
        <v>120000</v>
      </c>
      <c r="Y39" s="71" t="n">
        <f aca="false">X39+Y38</f>
        <v>120000</v>
      </c>
      <c r="Z39" s="71" t="n">
        <f aca="false">Y39+Z38</f>
        <v>120000</v>
      </c>
      <c r="AA39" s="71" t="n">
        <f aca="false">Z39+AA38</f>
        <v>120000</v>
      </c>
      <c r="AB39" s="71" t="n">
        <f aca="false">AA39+AB38</f>
        <v>120000</v>
      </c>
    </row>
    <row r="40" customFormat="false" ht="15" hidden="false" customHeight="false" outlineLevel="0" collapsed="false">
      <c r="A40" s="28" t="s">
        <v>928</v>
      </c>
      <c r="B40" s="58" t="s">
        <v>929</v>
      </c>
      <c r="C40" s="59" t="n">
        <f aca="false">P40</f>
        <v>0</v>
      </c>
      <c r="D40" s="59" t="n">
        <f aca="false">AB40</f>
        <v>0</v>
      </c>
      <c r="E40" s="71" t="n">
        <f aca="false">E35-E39</f>
        <v>-1209.60000000001</v>
      </c>
      <c r="F40" s="71" t="n">
        <f aca="false">F35-F39</f>
        <v>16670.77</v>
      </c>
      <c r="G40" s="71" t="n">
        <f aca="false">G35-G39</f>
        <v>30563.08</v>
      </c>
      <c r="H40" s="71" t="n">
        <f aca="false">H35-H39</f>
        <v>0</v>
      </c>
      <c r="I40" s="71" t="n">
        <f aca="false">I35-I39</f>
        <v>0</v>
      </c>
      <c r="J40" s="71" t="n">
        <f aca="false">J35-J39</f>
        <v>0</v>
      </c>
      <c r="K40" s="71" t="n">
        <f aca="false">K35-K39</f>
        <v>0</v>
      </c>
      <c r="L40" s="71" t="n">
        <f aca="false">L35-L39</f>
        <v>0</v>
      </c>
      <c r="M40" s="71" t="n">
        <f aca="false">M35-M39</f>
        <v>0</v>
      </c>
      <c r="N40" s="71" t="n">
        <f aca="false">N35-N39</f>
        <v>0</v>
      </c>
      <c r="O40" s="71" t="n">
        <f aca="false">O35-O39</f>
        <v>0</v>
      </c>
      <c r="P40" s="71" t="n">
        <f aca="false">P35-P39</f>
        <v>0</v>
      </c>
      <c r="Q40" s="71" t="n">
        <f aca="false">Q35-Q39</f>
        <v>0</v>
      </c>
      <c r="R40" s="71" t="n">
        <f aca="false">R35-R39</f>
        <v>0</v>
      </c>
      <c r="S40" s="71" t="n">
        <f aca="false">S35-S39</f>
        <v>0</v>
      </c>
      <c r="T40" s="71" t="n">
        <f aca="false">T35-T39</f>
        <v>0</v>
      </c>
      <c r="U40" s="71" t="n">
        <f aca="false">U35-U39</f>
        <v>0</v>
      </c>
      <c r="V40" s="71" t="n">
        <f aca="false">V35-V39</f>
        <v>0</v>
      </c>
      <c r="W40" s="71" t="n">
        <f aca="false">W35-W39</f>
        <v>0</v>
      </c>
      <c r="X40" s="71" t="n">
        <f aca="false">X35-X39</f>
        <v>0</v>
      </c>
      <c r="Y40" s="71" t="n">
        <f aca="false">Y35-Y39</f>
        <v>0</v>
      </c>
      <c r="Z40" s="71" t="n">
        <f aca="false">Z35-Z39</f>
        <v>0</v>
      </c>
      <c r="AA40" s="71" t="n">
        <f aca="false">AA35-AA39</f>
        <v>0</v>
      </c>
      <c r="AB40" s="71" t="n">
        <f aca="false">AB35-AB39</f>
        <v>0</v>
      </c>
    </row>
    <row r="41" customFormat="false" ht="15" hidden="false" customHeight="false" outlineLevel="0" collapsed="false">
      <c r="A41" s="28" t="s">
        <v>930</v>
      </c>
      <c r="B41" s="58"/>
      <c r="C41" s="59" t="n">
        <f aca="false">P41</f>
        <v>0</v>
      </c>
      <c r="D41" s="59" t="n">
        <f aca="false">AB41</f>
        <v>0</v>
      </c>
      <c r="E41" s="71" t="n">
        <f aca="false">MAX(0,E34-E35)</f>
        <v>37209.6</v>
      </c>
      <c r="F41" s="71" t="n">
        <f aca="false">MAX(0,F34-F35)</f>
        <v>19329.23</v>
      </c>
      <c r="G41" s="71" t="n">
        <f aca="false">MAX(0,G34-G35)</f>
        <v>5436.92000000001</v>
      </c>
      <c r="H41" s="71" t="n">
        <f aca="false">MAX(0,H34-H35)</f>
        <v>0</v>
      </c>
      <c r="I41" s="71" t="n">
        <f aca="false">MAX(0,I34-I35)</f>
        <v>0</v>
      </c>
      <c r="J41" s="71" t="n">
        <f aca="false">MAX(0,J34-J35)</f>
        <v>0</v>
      </c>
      <c r="K41" s="71" t="n">
        <f aca="false">MAX(0,K34-K35)</f>
        <v>0</v>
      </c>
      <c r="L41" s="71" t="n">
        <f aca="false">MAX(0,L34-L35)</f>
        <v>0</v>
      </c>
      <c r="M41" s="71" t="n">
        <f aca="false">MAX(0,M34-M35)</f>
        <v>0</v>
      </c>
      <c r="N41" s="71" t="n">
        <f aca="false">MAX(0,N34-N35)</f>
        <v>0</v>
      </c>
      <c r="O41" s="71" t="n">
        <f aca="false">MAX(0,O34-O35)</f>
        <v>0</v>
      </c>
      <c r="P41" s="71" t="n">
        <f aca="false">MAX(0,P34-P35)</f>
        <v>0</v>
      </c>
      <c r="Q41" s="71" t="n">
        <f aca="false">MAX(0,Q34-Q35)</f>
        <v>0</v>
      </c>
      <c r="R41" s="71" t="n">
        <f aca="false">MAX(0,R34-R35)</f>
        <v>0</v>
      </c>
      <c r="S41" s="71" t="n">
        <f aca="false">MAX(0,S34-S35)</f>
        <v>0</v>
      </c>
      <c r="T41" s="71" t="n">
        <f aca="false">MAX(0,T34-T35)</f>
        <v>0</v>
      </c>
      <c r="U41" s="71" t="n">
        <f aca="false">MAX(0,U34-U35)</f>
        <v>0</v>
      </c>
      <c r="V41" s="71" t="n">
        <f aca="false">MAX(0,V34-V35)</f>
        <v>0</v>
      </c>
      <c r="W41" s="71" t="n">
        <f aca="false">MAX(0,W34-W35)</f>
        <v>0</v>
      </c>
      <c r="X41" s="71" t="n">
        <f aca="false">MAX(0,X34-X35)</f>
        <v>0</v>
      </c>
      <c r="Y41" s="71" t="n">
        <f aca="false">MAX(0,Y34-Y35)</f>
        <v>0</v>
      </c>
      <c r="Z41" s="71" t="n">
        <f aca="false">MAX(0,Z34-Z35)</f>
        <v>0</v>
      </c>
      <c r="AA41" s="71" t="n">
        <f aca="false">MAX(0,AA34-AA35)</f>
        <v>0</v>
      </c>
      <c r="AB41" s="71" t="n">
        <f aca="false">MAX(0,AB34-AB35)</f>
        <v>0</v>
      </c>
    </row>
    <row r="42" customFormat="false" ht="15" hidden="false" customHeight="false" outlineLevel="0" collapsed="false">
      <c r="A42" s="28" t="s">
        <v>931</v>
      </c>
      <c r="B42" s="58" t="s">
        <v>932</v>
      </c>
      <c r="E42" s="71" t="n">
        <f aca="false">IF(E$5="A",ROUND(E35-E33*E34,0),0)</f>
        <v>0</v>
      </c>
      <c r="F42" s="71" t="n">
        <f aca="false">IF(F$5="A",ROUND(F35-F33*F34,0),0)</f>
        <v>0</v>
      </c>
      <c r="G42" s="71" t="n">
        <f aca="false">IF(G$5="A",ROUND(G35-G33*G34,0),0)</f>
        <v>0</v>
      </c>
      <c r="H42" s="71" t="n">
        <f aca="false">IF(H$5="A",ROUND(H35-H33*H34,0),0)</f>
        <v>0</v>
      </c>
      <c r="I42" s="71" t="n">
        <f aca="false">IF(I$5="A",ROUND(I35-I33*I34,0),0)</f>
        <v>0</v>
      </c>
      <c r="J42" s="71" t="n">
        <f aca="false">IF(J$5="A",ROUND(J35-J33*J34,0),0)</f>
        <v>0</v>
      </c>
      <c r="K42" s="71" t="n">
        <f aca="false">IF(K$5="A",ROUND(K35-K33*K34,0),0)</f>
        <v>0</v>
      </c>
      <c r="L42" s="71" t="n">
        <f aca="false">IF(L$5="A",ROUND(L35-L33*L34,0),0)</f>
        <v>0</v>
      </c>
      <c r="M42" s="71" t="n">
        <f aca="false">IF(M$5="A",ROUND(M35-M33*M34,0),0)</f>
        <v>0</v>
      </c>
      <c r="N42" s="71" t="n">
        <f aca="false">IF(N$5="A",ROUND(N35-N33*N34,0),0)</f>
        <v>0</v>
      </c>
      <c r="O42" s="71" t="n">
        <f aca="false">IF(O$5="A",ROUND(O35-O33*O34,0),0)</f>
        <v>0</v>
      </c>
      <c r="P42" s="71" t="n">
        <f aca="false">IF(P$5="A",ROUND(P35-P33*P34,0),0)</f>
        <v>0</v>
      </c>
      <c r="Q42" s="71" t="n">
        <f aca="false">IF(Q$5="A",ROUND(Q35-Q33*Q34,0),0)</f>
        <v>0</v>
      </c>
      <c r="R42" s="71" t="n">
        <f aca="false">IF(R$5="A",ROUND(R35-R33*R34,0),0)</f>
        <v>0</v>
      </c>
      <c r="S42" s="71" t="n">
        <f aca="false">IF(S$5="A",ROUND(S35-S33*S34,0),0)</f>
        <v>0</v>
      </c>
      <c r="T42" s="71" t="n">
        <f aca="false">IF(T$5="A",ROUND(T35-T33*T34,0),0)</f>
        <v>0</v>
      </c>
      <c r="U42" s="71" t="n">
        <f aca="false">IF(U$5="A",ROUND(U35-U33*U34,0),0)</f>
        <v>0</v>
      </c>
      <c r="V42" s="71" t="n">
        <f aca="false">IF(V$5="A",ROUND(V35-V33*V34,0),0)</f>
        <v>0</v>
      </c>
      <c r="W42" s="71" t="n">
        <f aca="false">IF(W$5="A",ROUND(W35-W33*W34,0),0)</f>
        <v>0</v>
      </c>
      <c r="X42" s="71" t="n">
        <f aca="false">IF(X$5="A",ROUND(X35-X33*X34,0),0)</f>
        <v>0</v>
      </c>
      <c r="Y42" s="71" t="n">
        <f aca="false">IF(Y$5="A",ROUND(Y35-Y33*Y34,0),0)</f>
        <v>0</v>
      </c>
      <c r="Z42" s="71" t="n">
        <f aca="false">IF(Z$5="A",ROUND(Z35-Z33*Z34,0),0)</f>
        <v>0</v>
      </c>
      <c r="AA42" s="71" t="n">
        <f aca="false">IF(AA$5="A",ROUND(AA35-AA33*AA34,0),0)</f>
        <v>0</v>
      </c>
      <c r="AB42" s="71" t="n">
        <f aca="false">IF(AB$5="A",ROUND(AB35-AB33*AB34,0),0)</f>
        <v>0</v>
      </c>
    </row>
    <row r="44" customFormat="false" ht="15" hidden="false" customHeight="false" outlineLevel="0" collapsed="false">
      <c r="A44" s="22" t="s">
        <v>935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customFormat="false" ht="15" hidden="false" customHeight="false" outlineLevel="0" collapsed="false">
      <c r="A45" s="28" t="s">
        <v>905</v>
      </c>
      <c r="B45" s="58" t="s">
        <v>906</v>
      </c>
      <c r="E45" s="112" t="n">
        <f aca="false">MIN(1,MAX(0,(Assumptions!E$99-Project_Register!$T$9+1)/(Project_Register!$U$9-Project_Register!$T$9+1)))</f>
        <v>0.666666666666667</v>
      </c>
      <c r="F45" s="112" t="n">
        <f aca="false">MIN(1,MAX(0,(Assumptions!F$99-Project_Register!$T$9+1)/(Project_Register!$U$9-Project_Register!$T$9+1)))</f>
        <v>0.833333333333333</v>
      </c>
      <c r="G45" s="112" t="n">
        <f aca="false">MIN(1,MAX(0,(Assumptions!G$99-Project_Register!$T$9+1)/(Project_Register!$U$9-Project_Register!$T$9+1)))</f>
        <v>1</v>
      </c>
      <c r="H45" s="112" t="n">
        <f aca="false">MIN(1,MAX(0,(Assumptions!H$99-Project_Register!$T$9+1)/(Project_Register!$U$9-Project_Register!$T$9+1)))</f>
        <v>1</v>
      </c>
      <c r="I45" s="112" t="n">
        <f aca="false">MIN(1,MAX(0,(Assumptions!I$99-Project_Register!$T$9+1)/(Project_Register!$U$9-Project_Register!$T$9+1)))</f>
        <v>1</v>
      </c>
      <c r="J45" s="112" t="n">
        <f aca="false">MIN(1,MAX(0,(Assumptions!J$99-Project_Register!$T$9+1)/(Project_Register!$U$9-Project_Register!$T$9+1)))</f>
        <v>1</v>
      </c>
      <c r="K45" s="112" t="n">
        <f aca="false">MIN(1,MAX(0,(Assumptions!K$99-Project_Register!$T$9+1)/(Project_Register!$U$9-Project_Register!$T$9+1)))</f>
        <v>1</v>
      </c>
      <c r="L45" s="112" t="n">
        <f aca="false">MIN(1,MAX(0,(Assumptions!L$99-Project_Register!$T$9+1)/(Project_Register!$U$9-Project_Register!$T$9+1)))</f>
        <v>1</v>
      </c>
      <c r="M45" s="112" t="n">
        <f aca="false">MIN(1,MAX(0,(Assumptions!M$99-Project_Register!$T$9+1)/(Project_Register!$U$9-Project_Register!$T$9+1)))</f>
        <v>1</v>
      </c>
      <c r="N45" s="112" t="n">
        <f aca="false">MIN(1,MAX(0,(Assumptions!N$99-Project_Register!$T$9+1)/(Project_Register!$U$9-Project_Register!$T$9+1)))</f>
        <v>1</v>
      </c>
      <c r="O45" s="112" t="n">
        <f aca="false">MIN(1,MAX(0,(Assumptions!O$99-Project_Register!$T$9+1)/(Project_Register!$U$9-Project_Register!$T$9+1)))</f>
        <v>1</v>
      </c>
      <c r="P45" s="112" t="n">
        <f aca="false">MIN(1,MAX(0,(Assumptions!P$99-Project_Register!$T$9+1)/(Project_Register!$U$9-Project_Register!$T$9+1)))</f>
        <v>1</v>
      </c>
      <c r="Q45" s="112" t="n">
        <f aca="false">MIN(1,MAX(0,(Assumptions!Q$99-Project_Register!$T$9+1)/(Project_Register!$U$9-Project_Register!$T$9+1)))</f>
        <v>1</v>
      </c>
      <c r="R45" s="112" t="n">
        <f aca="false">MIN(1,MAX(0,(Assumptions!R$99-Project_Register!$T$9+1)/(Project_Register!$U$9-Project_Register!$T$9+1)))</f>
        <v>1</v>
      </c>
      <c r="S45" s="112" t="n">
        <f aca="false">MIN(1,MAX(0,(Assumptions!S$99-Project_Register!$T$9+1)/(Project_Register!$U$9-Project_Register!$T$9+1)))</f>
        <v>1</v>
      </c>
      <c r="T45" s="112" t="n">
        <f aca="false">MIN(1,MAX(0,(Assumptions!T$99-Project_Register!$T$9+1)/(Project_Register!$U$9-Project_Register!$T$9+1)))</f>
        <v>1</v>
      </c>
      <c r="U45" s="112" t="n">
        <f aca="false">MIN(1,MAX(0,(Assumptions!U$99-Project_Register!$T$9+1)/(Project_Register!$U$9-Project_Register!$T$9+1)))</f>
        <v>1</v>
      </c>
      <c r="V45" s="112" t="n">
        <f aca="false">MIN(1,MAX(0,(Assumptions!V$99-Project_Register!$T$9+1)/(Project_Register!$U$9-Project_Register!$T$9+1)))</f>
        <v>1</v>
      </c>
      <c r="W45" s="112" t="n">
        <f aca="false">MIN(1,MAX(0,(Assumptions!W$99-Project_Register!$T$9+1)/(Project_Register!$U$9-Project_Register!$T$9+1)))</f>
        <v>1</v>
      </c>
      <c r="X45" s="112" t="n">
        <f aca="false">MIN(1,MAX(0,(Assumptions!X$99-Project_Register!$T$9+1)/(Project_Register!$U$9-Project_Register!$T$9+1)))</f>
        <v>1</v>
      </c>
      <c r="Y45" s="112" t="n">
        <f aca="false">MIN(1,MAX(0,(Assumptions!Y$99-Project_Register!$T$9+1)/(Project_Register!$U$9-Project_Register!$T$9+1)))</f>
        <v>1</v>
      </c>
      <c r="Z45" s="112" t="n">
        <f aca="false">MIN(1,MAX(0,(Assumptions!Z$99-Project_Register!$T$9+1)/(Project_Register!$U$9-Project_Register!$T$9+1)))</f>
        <v>1</v>
      </c>
      <c r="AA45" s="112" t="n">
        <f aca="false">MIN(1,MAX(0,(Assumptions!AA$99-Project_Register!$T$9+1)/(Project_Register!$U$9-Project_Register!$T$9+1)))</f>
        <v>1</v>
      </c>
      <c r="AB45" s="112" t="n">
        <f aca="false">MIN(1,MAX(0,(Assumptions!AB$99-Project_Register!$T$9+1)/(Project_Register!$U$9-Project_Register!$T$9+1)))</f>
        <v>1</v>
      </c>
    </row>
    <row r="46" customFormat="false" ht="15" hidden="false" customHeight="false" outlineLevel="0" collapsed="false">
      <c r="A46" s="28" t="s">
        <v>907</v>
      </c>
      <c r="B46" s="58" t="s">
        <v>908</v>
      </c>
      <c r="E46" s="113" t="n">
        <f aca="false">3*E45^2-2*E45^3</f>
        <v>0.740740740740741</v>
      </c>
      <c r="F46" s="113" t="n">
        <f aca="false">3*F45^2-2*F45^3</f>
        <v>0.925925925925926</v>
      </c>
      <c r="G46" s="113" t="n">
        <f aca="false">3*G45^2-2*G45^3</f>
        <v>1</v>
      </c>
      <c r="H46" s="113" t="n">
        <f aca="false">3*H45^2-2*H45^3</f>
        <v>1</v>
      </c>
      <c r="I46" s="113" t="n">
        <f aca="false">3*I45^2-2*I45^3</f>
        <v>1</v>
      </c>
      <c r="J46" s="113" t="n">
        <f aca="false">3*J45^2-2*J45^3</f>
        <v>1</v>
      </c>
      <c r="K46" s="113" t="n">
        <f aca="false">3*K45^2-2*K45^3</f>
        <v>1</v>
      </c>
      <c r="L46" s="113" t="n">
        <f aca="false">3*L45^2-2*L45^3</f>
        <v>1</v>
      </c>
      <c r="M46" s="113" t="n">
        <f aca="false">3*M45^2-2*M45^3</f>
        <v>1</v>
      </c>
      <c r="N46" s="113" t="n">
        <f aca="false">3*N45^2-2*N45^3</f>
        <v>1</v>
      </c>
      <c r="O46" s="113" t="n">
        <f aca="false">3*O45^2-2*O45^3</f>
        <v>1</v>
      </c>
      <c r="P46" s="113" t="n">
        <f aca="false">3*P45^2-2*P45^3</f>
        <v>1</v>
      </c>
      <c r="Q46" s="113" t="n">
        <f aca="false">3*Q45^2-2*Q45^3</f>
        <v>1</v>
      </c>
      <c r="R46" s="113" t="n">
        <f aca="false">3*R45^2-2*R45^3</f>
        <v>1</v>
      </c>
      <c r="S46" s="113" t="n">
        <f aca="false">3*S45^2-2*S45^3</f>
        <v>1</v>
      </c>
      <c r="T46" s="113" t="n">
        <f aca="false">3*T45^2-2*T45^3</f>
        <v>1</v>
      </c>
      <c r="U46" s="113" t="n">
        <f aca="false">3*U45^2-2*U45^3</f>
        <v>1</v>
      </c>
      <c r="V46" s="113" t="n">
        <f aca="false">3*V45^2-2*V45^3</f>
        <v>1</v>
      </c>
      <c r="W46" s="113" t="n">
        <f aca="false">3*W45^2-2*W45^3</f>
        <v>1</v>
      </c>
      <c r="X46" s="113" t="n">
        <f aca="false">3*X45^2-2*X45^3</f>
        <v>1</v>
      </c>
      <c r="Y46" s="113" t="n">
        <f aca="false">3*Y45^2-2*Y45^3</f>
        <v>1</v>
      </c>
      <c r="Z46" s="113" t="n">
        <f aca="false">3*Z45^2-2*Z45^3</f>
        <v>1</v>
      </c>
      <c r="AA46" s="113" t="n">
        <f aca="false">3*AA45^2-2*AA45^3</f>
        <v>1</v>
      </c>
      <c r="AB46" s="113" t="n">
        <f aca="false">3*AB45^2-2*AB45^3</f>
        <v>1</v>
      </c>
    </row>
    <row r="47" customFormat="false" ht="15" hidden="false" customHeight="false" outlineLevel="0" collapsed="false">
      <c r="A47" s="28" t="s">
        <v>909</v>
      </c>
      <c r="B47" s="58"/>
      <c r="E47" s="112" t="n">
        <f aca="false">3*MIN(1,MAX(0,(Assumptions!E$99-Project_Register!$T$9)/(Project_Register!$U$9-Project_Register!$T$9+1)))^2-2*MIN(1,MAX(0,(Assumptions!E$99-Project_Register!$T$9)/(Project_Register!$U$9-Project_Register!$T$9+1)))^3</f>
        <v>0.5</v>
      </c>
      <c r="F47" s="112" t="n">
        <f aca="false">3*MIN(1,MAX(0,(Assumptions!F$99-Project_Register!$T$9)/(Project_Register!$U$9-Project_Register!$T$9+1)))^2-2*MIN(1,MAX(0,(Assumptions!F$99-Project_Register!$T$9)/(Project_Register!$U$9-Project_Register!$T$9+1)))^3</f>
        <v>0.740740740740741</v>
      </c>
      <c r="G47" s="112" t="n">
        <f aca="false">3*MIN(1,MAX(0,(Assumptions!G$99-Project_Register!$T$9)/(Project_Register!$U$9-Project_Register!$T$9+1)))^2-2*MIN(1,MAX(0,(Assumptions!G$99-Project_Register!$T$9)/(Project_Register!$U$9-Project_Register!$T$9+1)))^3</f>
        <v>0.925925925925926</v>
      </c>
      <c r="H47" s="112" t="n">
        <f aca="false">3*MIN(1,MAX(0,(Assumptions!H$99-Project_Register!$T$9)/(Project_Register!$U$9-Project_Register!$T$9+1)))^2-2*MIN(1,MAX(0,(Assumptions!H$99-Project_Register!$T$9)/(Project_Register!$U$9-Project_Register!$T$9+1)))^3</f>
        <v>1</v>
      </c>
      <c r="I47" s="112" t="n">
        <f aca="false">3*MIN(1,MAX(0,(Assumptions!I$99-Project_Register!$T$9)/(Project_Register!$U$9-Project_Register!$T$9+1)))^2-2*MIN(1,MAX(0,(Assumptions!I$99-Project_Register!$T$9)/(Project_Register!$U$9-Project_Register!$T$9+1)))^3</f>
        <v>1</v>
      </c>
      <c r="J47" s="112" t="n">
        <f aca="false">3*MIN(1,MAX(0,(Assumptions!J$99-Project_Register!$T$9)/(Project_Register!$U$9-Project_Register!$T$9+1)))^2-2*MIN(1,MAX(0,(Assumptions!J$99-Project_Register!$T$9)/(Project_Register!$U$9-Project_Register!$T$9+1)))^3</f>
        <v>1</v>
      </c>
      <c r="K47" s="112" t="n">
        <f aca="false">3*MIN(1,MAX(0,(Assumptions!K$99-Project_Register!$T$9)/(Project_Register!$U$9-Project_Register!$T$9+1)))^2-2*MIN(1,MAX(0,(Assumptions!K$99-Project_Register!$T$9)/(Project_Register!$U$9-Project_Register!$T$9+1)))^3</f>
        <v>1</v>
      </c>
      <c r="L47" s="112" t="n">
        <f aca="false">3*MIN(1,MAX(0,(Assumptions!L$99-Project_Register!$T$9)/(Project_Register!$U$9-Project_Register!$T$9+1)))^2-2*MIN(1,MAX(0,(Assumptions!L$99-Project_Register!$T$9)/(Project_Register!$U$9-Project_Register!$T$9+1)))^3</f>
        <v>1</v>
      </c>
      <c r="M47" s="112" t="n">
        <f aca="false">3*MIN(1,MAX(0,(Assumptions!M$99-Project_Register!$T$9)/(Project_Register!$U$9-Project_Register!$T$9+1)))^2-2*MIN(1,MAX(0,(Assumptions!M$99-Project_Register!$T$9)/(Project_Register!$U$9-Project_Register!$T$9+1)))^3</f>
        <v>1</v>
      </c>
      <c r="N47" s="112" t="n">
        <f aca="false">3*MIN(1,MAX(0,(Assumptions!N$99-Project_Register!$T$9)/(Project_Register!$U$9-Project_Register!$T$9+1)))^2-2*MIN(1,MAX(0,(Assumptions!N$99-Project_Register!$T$9)/(Project_Register!$U$9-Project_Register!$T$9+1)))^3</f>
        <v>1</v>
      </c>
      <c r="O47" s="112" t="n">
        <f aca="false">3*MIN(1,MAX(0,(Assumptions!O$99-Project_Register!$T$9)/(Project_Register!$U$9-Project_Register!$T$9+1)))^2-2*MIN(1,MAX(0,(Assumptions!O$99-Project_Register!$T$9)/(Project_Register!$U$9-Project_Register!$T$9+1)))^3</f>
        <v>1</v>
      </c>
      <c r="P47" s="112" t="n">
        <f aca="false">3*MIN(1,MAX(0,(Assumptions!P$99-Project_Register!$T$9)/(Project_Register!$U$9-Project_Register!$T$9+1)))^2-2*MIN(1,MAX(0,(Assumptions!P$99-Project_Register!$T$9)/(Project_Register!$U$9-Project_Register!$T$9+1)))^3</f>
        <v>1</v>
      </c>
      <c r="Q47" s="112" t="n">
        <f aca="false">3*MIN(1,MAX(0,(Assumptions!Q$99-Project_Register!$T$9)/(Project_Register!$U$9-Project_Register!$T$9+1)))^2-2*MIN(1,MAX(0,(Assumptions!Q$99-Project_Register!$T$9)/(Project_Register!$U$9-Project_Register!$T$9+1)))^3</f>
        <v>1</v>
      </c>
      <c r="R47" s="112" t="n">
        <f aca="false">3*MIN(1,MAX(0,(Assumptions!R$99-Project_Register!$T$9)/(Project_Register!$U$9-Project_Register!$T$9+1)))^2-2*MIN(1,MAX(0,(Assumptions!R$99-Project_Register!$T$9)/(Project_Register!$U$9-Project_Register!$T$9+1)))^3</f>
        <v>1</v>
      </c>
      <c r="S47" s="112" t="n">
        <f aca="false">3*MIN(1,MAX(0,(Assumptions!S$99-Project_Register!$T$9)/(Project_Register!$U$9-Project_Register!$T$9+1)))^2-2*MIN(1,MAX(0,(Assumptions!S$99-Project_Register!$T$9)/(Project_Register!$U$9-Project_Register!$T$9+1)))^3</f>
        <v>1</v>
      </c>
      <c r="T47" s="112" t="n">
        <f aca="false">3*MIN(1,MAX(0,(Assumptions!T$99-Project_Register!$T$9)/(Project_Register!$U$9-Project_Register!$T$9+1)))^2-2*MIN(1,MAX(0,(Assumptions!T$99-Project_Register!$T$9)/(Project_Register!$U$9-Project_Register!$T$9+1)))^3</f>
        <v>1</v>
      </c>
      <c r="U47" s="112" t="n">
        <f aca="false">3*MIN(1,MAX(0,(Assumptions!U$99-Project_Register!$T$9)/(Project_Register!$U$9-Project_Register!$T$9+1)))^2-2*MIN(1,MAX(0,(Assumptions!U$99-Project_Register!$T$9)/(Project_Register!$U$9-Project_Register!$T$9+1)))^3</f>
        <v>1</v>
      </c>
      <c r="V47" s="112" t="n">
        <f aca="false">3*MIN(1,MAX(0,(Assumptions!V$99-Project_Register!$T$9)/(Project_Register!$U$9-Project_Register!$T$9+1)))^2-2*MIN(1,MAX(0,(Assumptions!V$99-Project_Register!$T$9)/(Project_Register!$U$9-Project_Register!$T$9+1)))^3</f>
        <v>1</v>
      </c>
      <c r="W47" s="112" t="n">
        <f aca="false">3*MIN(1,MAX(0,(Assumptions!W$99-Project_Register!$T$9)/(Project_Register!$U$9-Project_Register!$T$9+1)))^2-2*MIN(1,MAX(0,(Assumptions!W$99-Project_Register!$T$9)/(Project_Register!$U$9-Project_Register!$T$9+1)))^3</f>
        <v>1</v>
      </c>
      <c r="X47" s="112" t="n">
        <f aca="false">3*MIN(1,MAX(0,(Assumptions!X$99-Project_Register!$T$9)/(Project_Register!$U$9-Project_Register!$T$9+1)))^2-2*MIN(1,MAX(0,(Assumptions!X$99-Project_Register!$T$9)/(Project_Register!$U$9-Project_Register!$T$9+1)))^3</f>
        <v>1</v>
      </c>
      <c r="Y47" s="112" t="n">
        <f aca="false">3*MIN(1,MAX(0,(Assumptions!Y$99-Project_Register!$T$9)/(Project_Register!$U$9-Project_Register!$T$9+1)))^2-2*MIN(1,MAX(0,(Assumptions!Y$99-Project_Register!$T$9)/(Project_Register!$U$9-Project_Register!$T$9+1)))^3</f>
        <v>1</v>
      </c>
      <c r="Z47" s="112" t="n">
        <f aca="false">3*MIN(1,MAX(0,(Assumptions!Z$99-Project_Register!$T$9)/(Project_Register!$U$9-Project_Register!$T$9+1)))^2-2*MIN(1,MAX(0,(Assumptions!Z$99-Project_Register!$T$9)/(Project_Register!$U$9-Project_Register!$T$9+1)))^3</f>
        <v>1</v>
      </c>
      <c r="AA47" s="112" t="n">
        <f aca="false">3*MIN(1,MAX(0,(Assumptions!AA$99-Project_Register!$T$9)/(Project_Register!$U$9-Project_Register!$T$9+1)))^2-2*MIN(1,MAX(0,(Assumptions!AA$99-Project_Register!$T$9)/(Project_Register!$U$9-Project_Register!$T$9+1)))^3</f>
        <v>1</v>
      </c>
      <c r="AB47" s="112" t="n">
        <f aca="false">3*MIN(1,MAX(0,(Assumptions!AB$99-Project_Register!$T$9)/(Project_Register!$U$9-Project_Register!$T$9+1)))^2-2*MIN(1,MAX(0,(Assumptions!AB$99-Project_Register!$T$9)/(Project_Register!$U$9-Project_Register!$T$9+1)))^3</f>
        <v>1</v>
      </c>
    </row>
    <row r="48" customFormat="false" ht="15" hidden="false" customHeight="false" outlineLevel="0" collapsed="false">
      <c r="A48" s="28" t="s">
        <v>802</v>
      </c>
      <c r="B48" s="58" t="s">
        <v>910</v>
      </c>
      <c r="C48" s="66" t="n">
        <f aca="false">SUM(E48:P48)</f>
        <v>494.2</v>
      </c>
      <c r="D48" s="66" t="n">
        <f aca="false">SUM(Q48:AB48)</f>
        <v>0</v>
      </c>
      <c r="E48" s="67" t="n">
        <f aca="false">IF(E$5="A",Inputs_Actuals!E58,IF((Project_Register!$AA$9-Project_Register!$X$9)&lt;=0,0,IF(1-Project_Register!$AC$9&lt;=0.000001,IF(Assumptions!E$99=Assumptions!$C$10+1,(Project_Register!$AA$9-Project_Register!$X$9),0),(Project_Register!$AA$9-Project_Register!$X$9)*(E46-E47)/(1-Project_Register!$AC$9))))</f>
        <v>246.3</v>
      </c>
      <c r="F48" s="67" t="n">
        <f aca="false">IF(F$5="A",Inputs_Actuals!F58,IF((Project_Register!$AA$9-Project_Register!$X$9)&lt;=0,0,IF(1-Project_Register!$AC$9&lt;=0.000001,IF(Assumptions!F$99=Assumptions!$C$10+1,(Project_Register!$AA$9-Project_Register!$X$9),0),(Project_Register!$AA$9-Project_Register!$X$9)*(F46-F47)/(1-Project_Register!$AC$9))))</f>
        <v>156.6</v>
      </c>
      <c r="G48" s="67" t="n">
        <f aca="false">IF(G$5="A",Inputs_Actuals!G58,IF((Project_Register!$AA$9-Project_Register!$X$9)&lt;=0,0,IF(1-Project_Register!$AC$9&lt;=0.000001,IF(Assumptions!G$99=Assumptions!$C$10+1,(Project_Register!$AA$9-Project_Register!$X$9),0),(Project_Register!$AA$9-Project_Register!$X$9)*(G46-G47)/(1-Project_Register!$AC$9))))</f>
        <v>91.3</v>
      </c>
      <c r="H48" s="67" t="n">
        <f aca="false">IF(H$5="A",Inputs_Actuals!H58,IF((Project_Register!$AA$9-Project_Register!$X$9)&lt;=0,0,IF(1-Project_Register!$AC$9&lt;=0.000001,IF(Assumptions!H$99=Assumptions!$C$10+1,(Project_Register!$AA$9-Project_Register!$X$9),0),(Project_Register!$AA$9-Project_Register!$X$9)*(H46-H47)/(1-Project_Register!$AC$9))))</f>
        <v>0</v>
      </c>
      <c r="I48" s="67" t="n">
        <f aca="false">IF(I$5="A",Inputs_Actuals!I58,IF((Project_Register!$AA$9-Project_Register!$X$9)&lt;=0,0,IF(1-Project_Register!$AC$9&lt;=0.000001,IF(Assumptions!I$99=Assumptions!$C$10+1,(Project_Register!$AA$9-Project_Register!$X$9),0),(Project_Register!$AA$9-Project_Register!$X$9)*(I46-I47)/(1-Project_Register!$AC$9))))</f>
        <v>0</v>
      </c>
      <c r="J48" s="67" t="n">
        <f aca="false">IF(J$5="A",Inputs_Actuals!J58,IF((Project_Register!$AA$9-Project_Register!$X$9)&lt;=0,0,IF(1-Project_Register!$AC$9&lt;=0.000001,IF(Assumptions!J$99=Assumptions!$C$10+1,(Project_Register!$AA$9-Project_Register!$X$9),0),(Project_Register!$AA$9-Project_Register!$X$9)*(J46-J47)/(1-Project_Register!$AC$9))))</f>
        <v>0</v>
      </c>
      <c r="K48" s="67" t="n">
        <f aca="false">IF(K$5="A",Inputs_Actuals!K58,IF((Project_Register!$AA$9-Project_Register!$X$9)&lt;=0,0,IF(1-Project_Register!$AC$9&lt;=0.000001,IF(Assumptions!K$99=Assumptions!$C$10+1,(Project_Register!$AA$9-Project_Register!$X$9),0),(Project_Register!$AA$9-Project_Register!$X$9)*(K46-K47)/(1-Project_Register!$AC$9))))</f>
        <v>0</v>
      </c>
      <c r="L48" s="67" t="n">
        <f aca="false">IF(L$5="A",Inputs_Actuals!L58,IF((Project_Register!$AA$9-Project_Register!$X$9)&lt;=0,0,IF(1-Project_Register!$AC$9&lt;=0.000001,IF(Assumptions!L$99=Assumptions!$C$10+1,(Project_Register!$AA$9-Project_Register!$X$9),0),(Project_Register!$AA$9-Project_Register!$X$9)*(L46-L47)/(1-Project_Register!$AC$9))))</f>
        <v>0</v>
      </c>
      <c r="M48" s="67" t="n">
        <f aca="false">IF(M$5="A",Inputs_Actuals!M58,IF((Project_Register!$AA$9-Project_Register!$X$9)&lt;=0,0,IF(1-Project_Register!$AC$9&lt;=0.000001,IF(Assumptions!M$99=Assumptions!$C$10+1,(Project_Register!$AA$9-Project_Register!$X$9),0),(Project_Register!$AA$9-Project_Register!$X$9)*(M46-M47)/(1-Project_Register!$AC$9))))</f>
        <v>0</v>
      </c>
      <c r="N48" s="67" t="n">
        <f aca="false">IF(N$5="A",Inputs_Actuals!N58,IF((Project_Register!$AA$9-Project_Register!$X$9)&lt;=0,0,IF(1-Project_Register!$AC$9&lt;=0.000001,IF(Assumptions!N$99=Assumptions!$C$10+1,(Project_Register!$AA$9-Project_Register!$X$9),0),(Project_Register!$AA$9-Project_Register!$X$9)*(N46-N47)/(1-Project_Register!$AC$9))))</f>
        <v>0</v>
      </c>
      <c r="O48" s="67" t="n">
        <f aca="false">IF(O$5="A",Inputs_Actuals!O58,IF((Project_Register!$AA$9-Project_Register!$X$9)&lt;=0,0,IF(1-Project_Register!$AC$9&lt;=0.000001,IF(Assumptions!O$99=Assumptions!$C$10+1,(Project_Register!$AA$9-Project_Register!$X$9),0),(Project_Register!$AA$9-Project_Register!$X$9)*(O46-O47)/(1-Project_Register!$AC$9))))</f>
        <v>0</v>
      </c>
      <c r="P48" s="67" t="n">
        <f aca="false">IF(P$5="A",Inputs_Actuals!P58,IF((Project_Register!$AA$9-Project_Register!$X$9)&lt;=0,0,IF(1-Project_Register!$AC$9&lt;=0.000001,IF(Assumptions!P$99=Assumptions!$C$10+1,(Project_Register!$AA$9-Project_Register!$X$9),0),(Project_Register!$AA$9-Project_Register!$X$9)*(P46-P47)/(1-Project_Register!$AC$9))))</f>
        <v>0</v>
      </c>
      <c r="Q48" s="67" t="n">
        <f aca="false">IF(Q$5="A",Inputs_Actuals!Q58,IF((Project_Register!$AA$9-Project_Register!$X$9)&lt;=0,0,IF(1-Project_Register!$AC$9&lt;=0.000001,IF(Assumptions!Q$99=Assumptions!$C$10+1,(Project_Register!$AA$9-Project_Register!$X$9),0),(Project_Register!$AA$9-Project_Register!$X$9)*(Q46-Q47)/(1-Project_Register!$AC$9))))</f>
        <v>0</v>
      </c>
      <c r="R48" s="67" t="n">
        <f aca="false">IF(R$5="A",Inputs_Actuals!R58,IF((Project_Register!$AA$9-Project_Register!$X$9)&lt;=0,0,IF(1-Project_Register!$AC$9&lt;=0.000001,IF(Assumptions!R$99=Assumptions!$C$10+1,(Project_Register!$AA$9-Project_Register!$X$9),0),(Project_Register!$AA$9-Project_Register!$X$9)*(R46-R47)/(1-Project_Register!$AC$9))))</f>
        <v>0</v>
      </c>
      <c r="S48" s="67" t="n">
        <f aca="false">IF(S$5="A",Inputs_Actuals!S58,IF((Project_Register!$AA$9-Project_Register!$X$9)&lt;=0,0,IF(1-Project_Register!$AC$9&lt;=0.000001,IF(Assumptions!S$99=Assumptions!$C$10+1,(Project_Register!$AA$9-Project_Register!$X$9),0),(Project_Register!$AA$9-Project_Register!$X$9)*(S46-S47)/(1-Project_Register!$AC$9))))</f>
        <v>0</v>
      </c>
      <c r="T48" s="67" t="n">
        <f aca="false">IF(T$5="A",Inputs_Actuals!T58,IF((Project_Register!$AA$9-Project_Register!$X$9)&lt;=0,0,IF(1-Project_Register!$AC$9&lt;=0.000001,IF(Assumptions!T$99=Assumptions!$C$10+1,(Project_Register!$AA$9-Project_Register!$X$9),0),(Project_Register!$AA$9-Project_Register!$X$9)*(T46-T47)/(1-Project_Register!$AC$9))))</f>
        <v>0</v>
      </c>
      <c r="U48" s="67" t="n">
        <f aca="false">IF(U$5="A",Inputs_Actuals!U58,IF((Project_Register!$AA$9-Project_Register!$X$9)&lt;=0,0,IF(1-Project_Register!$AC$9&lt;=0.000001,IF(Assumptions!U$99=Assumptions!$C$10+1,(Project_Register!$AA$9-Project_Register!$X$9),0),(Project_Register!$AA$9-Project_Register!$X$9)*(U46-U47)/(1-Project_Register!$AC$9))))</f>
        <v>0</v>
      </c>
      <c r="V48" s="67" t="n">
        <f aca="false">IF(V$5="A",Inputs_Actuals!V58,IF((Project_Register!$AA$9-Project_Register!$X$9)&lt;=0,0,IF(1-Project_Register!$AC$9&lt;=0.000001,IF(Assumptions!V$99=Assumptions!$C$10+1,(Project_Register!$AA$9-Project_Register!$X$9),0),(Project_Register!$AA$9-Project_Register!$X$9)*(V46-V47)/(1-Project_Register!$AC$9))))</f>
        <v>0</v>
      </c>
      <c r="W48" s="67" t="n">
        <f aca="false">IF(W$5="A",Inputs_Actuals!W58,IF((Project_Register!$AA$9-Project_Register!$X$9)&lt;=0,0,IF(1-Project_Register!$AC$9&lt;=0.000001,IF(Assumptions!W$99=Assumptions!$C$10+1,(Project_Register!$AA$9-Project_Register!$X$9),0),(Project_Register!$AA$9-Project_Register!$X$9)*(W46-W47)/(1-Project_Register!$AC$9))))</f>
        <v>0</v>
      </c>
      <c r="X48" s="67" t="n">
        <f aca="false">IF(X$5="A",Inputs_Actuals!X58,IF((Project_Register!$AA$9-Project_Register!$X$9)&lt;=0,0,IF(1-Project_Register!$AC$9&lt;=0.000001,IF(Assumptions!X$99=Assumptions!$C$10+1,(Project_Register!$AA$9-Project_Register!$X$9),0),(Project_Register!$AA$9-Project_Register!$X$9)*(X46-X47)/(1-Project_Register!$AC$9))))</f>
        <v>0</v>
      </c>
      <c r="Y48" s="67" t="n">
        <f aca="false">IF(Y$5="A",Inputs_Actuals!Y58,IF((Project_Register!$AA$9-Project_Register!$X$9)&lt;=0,0,IF(1-Project_Register!$AC$9&lt;=0.000001,IF(Assumptions!Y$99=Assumptions!$C$10+1,(Project_Register!$AA$9-Project_Register!$X$9),0),(Project_Register!$AA$9-Project_Register!$X$9)*(Y46-Y47)/(1-Project_Register!$AC$9))))</f>
        <v>0</v>
      </c>
      <c r="Z48" s="67" t="n">
        <f aca="false">IF(Z$5="A",Inputs_Actuals!Z58,IF((Project_Register!$AA$9-Project_Register!$X$9)&lt;=0,0,IF(1-Project_Register!$AC$9&lt;=0.000001,IF(Assumptions!Z$99=Assumptions!$C$10+1,(Project_Register!$AA$9-Project_Register!$X$9),0),(Project_Register!$AA$9-Project_Register!$X$9)*(Z46-Z47)/(1-Project_Register!$AC$9))))</f>
        <v>0</v>
      </c>
      <c r="AA48" s="67" t="n">
        <f aca="false">IF(AA$5="A",Inputs_Actuals!AA58,IF((Project_Register!$AA$9-Project_Register!$X$9)&lt;=0,0,IF(1-Project_Register!$AC$9&lt;=0.000001,IF(Assumptions!AA$99=Assumptions!$C$10+1,(Project_Register!$AA$9-Project_Register!$X$9),0),(Project_Register!$AA$9-Project_Register!$X$9)*(AA46-AA47)/(1-Project_Register!$AC$9))))</f>
        <v>0</v>
      </c>
      <c r="AB48" s="67" t="n">
        <f aca="false">IF(AB$5="A",Inputs_Actuals!AB58,IF((Project_Register!$AA$9-Project_Register!$X$9)&lt;=0,0,IF(1-Project_Register!$AC$9&lt;=0.000001,IF(Assumptions!AB$99=Assumptions!$C$10+1,(Project_Register!$AA$9-Project_Register!$X$9),0),(Project_Register!$AA$9-Project_Register!$X$9)*(AB46-AB47)/(1-Project_Register!$AC$9))))</f>
        <v>0</v>
      </c>
    </row>
    <row r="49" customFormat="false" ht="15" hidden="false" customHeight="false" outlineLevel="0" collapsed="false">
      <c r="A49" s="28" t="s">
        <v>911</v>
      </c>
      <c r="B49" s="58" t="s">
        <v>912</v>
      </c>
      <c r="C49" s="66" t="n">
        <f aca="false">P49</f>
        <v>1000</v>
      </c>
      <c r="D49" s="66" t="n">
        <f aca="false">AB49</f>
        <v>1000</v>
      </c>
      <c r="E49" s="67" t="n">
        <f aca="false">Project_Register!$P$9+E48</f>
        <v>752.1</v>
      </c>
      <c r="F49" s="72" t="n">
        <f aca="false">E49+F48</f>
        <v>908.7</v>
      </c>
      <c r="G49" s="72" t="n">
        <f aca="false">F49+G48</f>
        <v>1000</v>
      </c>
      <c r="H49" s="72" t="n">
        <f aca="false">G49+H48</f>
        <v>1000</v>
      </c>
      <c r="I49" s="72" t="n">
        <f aca="false">H49+I48</f>
        <v>1000</v>
      </c>
      <c r="J49" s="72" t="n">
        <f aca="false">I49+J48</f>
        <v>1000</v>
      </c>
      <c r="K49" s="72" t="n">
        <f aca="false">J49+K48</f>
        <v>1000</v>
      </c>
      <c r="L49" s="72" t="n">
        <f aca="false">K49+L48</f>
        <v>1000</v>
      </c>
      <c r="M49" s="72" t="n">
        <f aca="false">L49+M48</f>
        <v>1000</v>
      </c>
      <c r="N49" s="72" t="n">
        <f aca="false">M49+N48</f>
        <v>1000</v>
      </c>
      <c r="O49" s="72" t="n">
        <f aca="false">N49+O48</f>
        <v>1000</v>
      </c>
      <c r="P49" s="72" t="n">
        <f aca="false">O49+P48</f>
        <v>1000</v>
      </c>
      <c r="Q49" s="72" t="n">
        <f aca="false">P49+Q48</f>
        <v>1000</v>
      </c>
      <c r="R49" s="72" t="n">
        <f aca="false">Q49+R48</f>
        <v>1000</v>
      </c>
      <c r="S49" s="72" t="n">
        <f aca="false">R49+S48</f>
        <v>1000</v>
      </c>
      <c r="T49" s="72" t="n">
        <f aca="false">S49+T48</f>
        <v>1000</v>
      </c>
      <c r="U49" s="72" t="n">
        <f aca="false">T49+U48</f>
        <v>1000</v>
      </c>
      <c r="V49" s="72" t="n">
        <f aca="false">U49+V48</f>
        <v>1000</v>
      </c>
      <c r="W49" s="72" t="n">
        <f aca="false">V49+W48</f>
        <v>1000</v>
      </c>
      <c r="X49" s="72" t="n">
        <f aca="false">W49+X48</f>
        <v>1000</v>
      </c>
      <c r="Y49" s="72" t="n">
        <f aca="false">X49+Y48</f>
        <v>1000</v>
      </c>
      <c r="Z49" s="72" t="n">
        <f aca="false">Y49+Z48</f>
        <v>1000</v>
      </c>
      <c r="AA49" s="72" t="n">
        <f aca="false">Z49+AA48</f>
        <v>1000</v>
      </c>
      <c r="AB49" s="72" t="n">
        <f aca="false">AA49+AB48</f>
        <v>1000</v>
      </c>
    </row>
    <row r="50" customFormat="false" ht="15" hidden="false" customHeight="false" outlineLevel="0" collapsed="false">
      <c r="A50" s="28" t="s">
        <v>913</v>
      </c>
      <c r="B50" s="58" t="s">
        <v>914</v>
      </c>
      <c r="C50" s="66" t="n">
        <f aca="false">P50</f>
        <v>1000</v>
      </c>
      <c r="D50" s="66" t="n">
        <f aca="false">AB50</f>
        <v>1000</v>
      </c>
      <c r="E50" s="67" t="n">
        <f aca="false">IF(E$5="A",IF(E49+N(Inputs_Actuals!E59)&lt;=0,Project_Register!$AA$9,E49+N(Inputs_Actuals!E59)),Project_Register!$AA$9)</f>
        <v>1000</v>
      </c>
      <c r="F50" s="67" t="n">
        <f aca="false">IF(F$5="A",IF(F49+N(Inputs_Actuals!F59)&lt;=0,Project_Register!$AA$9,F49+N(Inputs_Actuals!F59)),Project_Register!$AA$9)</f>
        <v>1000</v>
      </c>
      <c r="G50" s="67" t="n">
        <f aca="false">IF(G$5="A",IF(G49+N(Inputs_Actuals!G59)&lt;=0,Project_Register!$AA$9,G49+N(Inputs_Actuals!G59)),Project_Register!$AA$9)</f>
        <v>1000</v>
      </c>
      <c r="H50" s="67" t="n">
        <f aca="false">IF(H$5="A",IF(H49+N(Inputs_Actuals!H59)&lt;=0,Project_Register!$AA$9,H49+N(Inputs_Actuals!H59)),Project_Register!$AA$9)</f>
        <v>1000</v>
      </c>
      <c r="I50" s="67" t="n">
        <f aca="false">IF(I$5="A",IF(I49+N(Inputs_Actuals!I59)&lt;=0,Project_Register!$AA$9,I49+N(Inputs_Actuals!I59)),Project_Register!$AA$9)</f>
        <v>1000</v>
      </c>
      <c r="J50" s="67" t="n">
        <f aca="false">IF(J$5="A",IF(J49+N(Inputs_Actuals!J59)&lt;=0,Project_Register!$AA$9,J49+N(Inputs_Actuals!J59)),Project_Register!$AA$9)</f>
        <v>1000</v>
      </c>
      <c r="K50" s="67" t="n">
        <f aca="false">IF(K$5="A",IF(K49+N(Inputs_Actuals!K59)&lt;=0,Project_Register!$AA$9,K49+N(Inputs_Actuals!K59)),Project_Register!$AA$9)</f>
        <v>1000</v>
      </c>
      <c r="L50" s="67" t="n">
        <f aca="false">IF(L$5="A",IF(L49+N(Inputs_Actuals!L59)&lt;=0,Project_Register!$AA$9,L49+N(Inputs_Actuals!L59)),Project_Register!$AA$9)</f>
        <v>1000</v>
      </c>
      <c r="M50" s="67" t="n">
        <f aca="false">IF(M$5="A",IF(M49+N(Inputs_Actuals!M59)&lt;=0,Project_Register!$AA$9,M49+N(Inputs_Actuals!M59)),Project_Register!$AA$9)</f>
        <v>1000</v>
      </c>
      <c r="N50" s="67" t="n">
        <f aca="false">IF(N$5="A",IF(N49+N(Inputs_Actuals!N59)&lt;=0,Project_Register!$AA$9,N49+N(Inputs_Actuals!N59)),Project_Register!$AA$9)</f>
        <v>1000</v>
      </c>
      <c r="O50" s="67" t="n">
        <f aca="false">IF(O$5="A",IF(O49+N(Inputs_Actuals!O59)&lt;=0,Project_Register!$AA$9,O49+N(Inputs_Actuals!O59)),Project_Register!$AA$9)</f>
        <v>1000</v>
      </c>
      <c r="P50" s="67" t="n">
        <f aca="false">IF(P$5="A",IF(P49+N(Inputs_Actuals!P59)&lt;=0,Project_Register!$AA$9,P49+N(Inputs_Actuals!P59)),Project_Register!$AA$9)</f>
        <v>1000</v>
      </c>
      <c r="Q50" s="67" t="n">
        <f aca="false">IF(Q$5="A",IF(Q49+N(Inputs_Actuals!Q59)&lt;=0,Project_Register!$AA$9,Q49+N(Inputs_Actuals!Q59)),Project_Register!$AA$9)</f>
        <v>1000</v>
      </c>
      <c r="R50" s="67" t="n">
        <f aca="false">IF(R$5="A",IF(R49+N(Inputs_Actuals!R59)&lt;=0,Project_Register!$AA$9,R49+N(Inputs_Actuals!R59)),Project_Register!$AA$9)</f>
        <v>1000</v>
      </c>
      <c r="S50" s="67" t="n">
        <f aca="false">IF(S$5="A",IF(S49+N(Inputs_Actuals!S59)&lt;=0,Project_Register!$AA$9,S49+N(Inputs_Actuals!S59)),Project_Register!$AA$9)</f>
        <v>1000</v>
      </c>
      <c r="T50" s="67" t="n">
        <f aca="false">IF(T$5="A",IF(T49+N(Inputs_Actuals!T59)&lt;=0,Project_Register!$AA$9,T49+N(Inputs_Actuals!T59)),Project_Register!$AA$9)</f>
        <v>1000</v>
      </c>
      <c r="U50" s="67" t="n">
        <f aca="false">IF(U$5="A",IF(U49+N(Inputs_Actuals!U59)&lt;=0,Project_Register!$AA$9,U49+N(Inputs_Actuals!U59)),Project_Register!$AA$9)</f>
        <v>1000</v>
      </c>
      <c r="V50" s="67" t="n">
        <f aca="false">IF(V$5="A",IF(V49+N(Inputs_Actuals!V59)&lt;=0,Project_Register!$AA$9,V49+N(Inputs_Actuals!V59)),Project_Register!$AA$9)</f>
        <v>1000</v>
      </c>
      <c r="W50" s="67" t="n">
        <f aca="false">IF(W$5="A",IF(W49+N(Inputs_Actuals!W59)&lt;=0,Project_Register!$AA$9,W49+N(Inputs_Actuals!W59)),Project_Register!$AA$9)</f>
        <v>1000</v>
      </c>
      <c r="X50" s="67" t="n">
        <f aca="false">IF(X$5="A",IF(X49+N(Inputs_Actuals!X59)&lt;=0,Project_Register!$AA$9,X49+N(Inputs_Actuals!X59)),Project_Register!$AA$9)</f>
        <v>1000</v>
      </c>
      <c r="Y50" s="67" t="n">
        <f aca="false">IF(Y$5="A",IF(Y49+N(Inputs_Actuals!Y59)&lt;=0,Project_Register!$AA$9,Y49+N(Inputs_Actuals!Y59)),Project_Register!$AA$9)</f>
        <v>1000</v>
      </c>
      <c r="Z50" s="67" t="n">
        <f aca="false">IF(Z$5="A",IF(Z49+N(Inputs_Actuals!Z59)&lt;=0,Project_Register!$AA$9,Z49+N(Inputs_Actuals!Z59)),Project_Register!$AA$9)</f>
        <v>1000</v>
      </c>
      <c r="AA50" s="67" t="n">
        <f aca="false">IF(AA$5="A",IF(AA49+N(Inputs_Actuals!AA59)&lt;=0,Project_Register!$AA$9,AA49+N(Inputs_Actuals!AA59)),Project_Register!$AA$9)</f>
        <v>1000</v>
      </c>
      <c r="AB50" s="67" t="n">
        <f aca="false">IF(AB$5="A",IF(AB49+N(Inputs_Actuals!AB59)&lt;=0,Project_Register!$AA$9,AB49+N(Inputs_Actuals!AB59)),Project_Register!$AA$9)</f>
        <v>1000</v>
      </c>
    </row>
    <row r="51" customFormat="false" ht="15" hidden="false" customHeight="false" outlineLevel="0" collapsed="false">
      <c r="A51" s="28" t="s">
        <v>915</v>
      </c>
      <c r="B51" s="58" t="s">
        <v>916</v>
      </c>
      <c r="C51" s="61" t="n">
        <f aca="false">P51</f>
        <v>1</v>
      </c>
      <c r="D51" s="61" t="n">
        <f aca="false">AB51</f>
        <v>1</v>
      </c>
      <c r="E51" s="62" t="n">
        <f aca="false">IF(E50&lt;=0,0,MIN(1,E49/E50))</f>
        <v>0.7521</v>
      </c>
      <c r="F51" s="62" t="n">
        <f aca="false">IF(F50&lt;=0,0,MIN(1,F49/F50))</f>
        <v>0.9087</v>
      </c>
      <c r="G51" s="62" t="n">
        <f aca="false">IF(G50&lt;=0,0,MIN(1,G49/G50))</f>
        <v>1</v>
      </c>
      <c r="H51" s="62" t="n">
        <f aca="false">IF(H50&lt;=0,0,MIN(1,H49/H50))</f>
        <v>1</v>
      </c>
      <c r="I51" s="62" t="n">
        <f aca="false">IF(I50&lt;=0,0,MIN(1,I49/I50))</f>
        <v>1</v>
      </c>
      <c r="J51" s="62" t="n">
        <f aca="false">IF(J50&lt;=0,0,MIN(1,J49/J50))</f>
        <v>1</v>
      </c>
      <c r="K51" s="62" t="n">
        <f aca="false">IF(K50&lt;=0,0,MIN(1,K49/K50))</f>
        <v>1</v>
      </c>
      <c r="L51" s="62" t="n">
        <f aca="false">IF(L50&lt;=0,0,MIN(1,L49/L50))</f>
        <v>1</v>
      </c>
      <c r="M51" s="62" t="n">
        <f aca="false">IF(M50&lt;=0,0,MIN(1,M49/M50))</f>
        <v>1</v>
      </c>
      <c r="N51" s="62" t="n">
        <f aca="false">IF(N50&lt;=0,0,MIN(1,N49/N50))</f>
        <v>1</v>
      </c>
      <c r="O51" s="62" t="n">
        <f aca="false">IF(O50&lt;=0,0,MIN(1,O49/O50))</f>
        <v>1</v>
      </c>
      <c r="P51" s="62" t="n">
        <f aca="false">IF(P50&lt;=0,0,MIN(1,P49/P50))</f>
        <v>1</v>
      </c>
      <c r="Q51" s="62" t="n">
        <f aca="false">IF(Q50&lt;=0,0,MIN(1,Q49/Q50))</f>
        <v>1</v>
      </c>
      <c r="R51" s="62" t="n">
        <f aca="false">IF(R50&lt;=0,0,MIN(1,R49/R50))</f>
        <v>1</v>
      </c>
      <c r="S51" s="62" t="n">
        <f aca="false">IF(S50&lt;=0,0,MIN(1,S49/S50))</f>
        <v>1</v>
      </c>
      <c r="T51" s="62" t="n">
        <f aca="false">IF(T50&lt;=0,0,MIN(1,T49/T50))</f>
        <v>1</v>
      </c>
      <c r="U51" s="62" t="n">
        <f aca="false">IF(U50&lt;=0,0,MIN(1,U49/U50))</f>
        <v>1</v>
      </c>
      <c r="V51" s="62" t="n">
        <f aca="false">IF(V50&lt;=0,0,MIN(1,V49/V50))</f>
        <v>1</v>
      </c>
      <c r="W51" s="62" t="n">
        <f aca="false">IF(W50&lt;=0,0,MIN(1,W49/W50))</f>
        <v>1</v>
      </c>
      <c r="X51" s="62" t="n">
        <f aca="false">IF(X50&lt;=0,0,MIN(1,X49/X50))</f>
        <v>1</v>
      </c>
      <c r="Y51" s="62" t="n">
        <f aca="false">IF(Y50&lt;=0,0,MIN(1,Y49/Y50))</f>
        <v>1</v>
      </c>
      <c r="Z51" s="62" t="n">
        <f aca="false">IF(Z50&lt;=0,0,MIN(1,Z49/Z50))</f>
        <v>1</v>
      </c>
      <c r="AA51" s="62" t="n">
        <f aca="false">IF(AA50&lt;=0,0,MIN(1,AA49/AA50))</f>
        <v>1</v>
      </c>
      <c r="AB51" s="62" t="n">
        <f aca="false">IF(AB50&lt;=0,0,MIN(1,AB49/AB50))</f>
        <v>1</v>
      </c>
    </row>
    <row r="52" customFormat="false" ht="15" hidden="false" customHeight="false" outlineLevel="0" collapsed="false">
      <c r="A52" s="28" t="s">
        <v>917</v>
      </c>
      <c r="B52" s="58" t="s">
        <v>918</v>
      </c>
      <c r="C52" s="59" t="n">
        <f aca="false">P52</f>
        <v>95000</v>
      </c>
      <c r="D52" s="59" t="n">
        <f aca="false">AB52</f>
        <v>95000</v>
      </c>
      <c r="E52" s="60" t="n">
        <f aca="false">IF(E$5="A",N(Inputs_Actuals!E60),Project_Register!$W$9)</f>
        <v>95000</v>
      </c>
      <c r="F52" s="60" t="n">
        <f aca="false">IF(F$5="A",N(Inputs_Actuals!F60),Project_Register!$W$9)</f>
        <v>95000</v>
      </c>
      <c r="G52" s="60" t="n">
        <f aca="false">IF(G$5="A",N(Inputs_Actuals!G60),Project_Register!$W$9)</f>
        <v>95000</v>
      </c>
      <c r="H52" s="60" t="n">
        <f aca="false">IF(H$5="A",N(Inputs_Actuals!H60),Project_Register!$W$9)</f>
        <v>95000</v>
      </c>
      <c r="I52" s="60" t="n">
        <f aca="false">IF(I$5="A",N(Inputs_Actuals!I60),Project_Register!$W$9)</f>
        <v>95000</v>
      </c>
      <c r="J52" s="60" t="n">
        <f aca="false">IF(J$5="A",N(Inputs_Actuals!J60),Project_Register!$W$9)</f>
        <v>95000</v>
      </c>
      <c r="K52" s="60" t="n">
        <f aca="false">IF(K$5="A",N(Inputs_Actuals!K60),Project_Register!$W$9)</f>
        <v>95000</v>
      </c>
      <c r="L52" s="60" t="n">
        <f aca="false">IF(L$5="A",N(Inputs_Actuals!L60),Project_Register!$W$9)</f>
        <v>95000</v>
      </c>
      <c r="M52" s="60" t="n">
        <f aca="false">IF(M$5="A",N(Inputs_Actuals!M60),Project_Register!$W$9)</f>
        <v>95000</v>
      </c>
      <c r="N52" s="60" t="n">
        <f aca="false">IF(N$5="A",N(Inputs_Actuals!N60),Project_Register!$W$9)</f>
        <v>95000</v>
      </c>
      <c r="O52" s="60" t="n">
        <f aca="false">IF(O$5="A",N(Inputs_Actuals!O60),Project_Register!$W$9)</f>
        <v>95000</v>
      </c>
      <c r="P52" s="60" t="n">
        <f aca="false">IF(P$5="A",N(Inputs_Actuals!P60),Project_Register!$W$9)</f>
        <v>95000</v>
      </c>
      <c r="Q52" s="60" t="n">
        <f aca="false">IF(Q$5="A",N(Inputs_Actuals!Q60),Project_Register!$W$9)</f>
        <v>95000</v>
      </c>
      <c r="R52" s="60" t="n">
        <f aca="false">IF(R$5="A",N(Inputs_Actuals!R60),Project_Register!$W$9)</f>
        <v>95000</v>
      </c>
      <c r="S52" s="60" t="n">
        <f aca="false">IF(S$5="A",N(Inputs_Actuals!S60),Project_Register!$W$9)</f>
        <v>95000</v>
      </c>
      <c r="T52" s="60" t="n">
        <f aca="false">IF(T$5="A",N(Inputs_Actuals!T60),Project_Register!$W$9)</f>
        <v>95000</v>
      </c>
      <c r="U52" s="60" t="n">
        <f aca="false">IF(U$5="A",N(Inputs_Actuals!U60),Project_Register!$W$9)</f>
        <v>95000</v>
      </c>
      <c r="V52" s="60" t="n">
        <f aca="false">IF(V$5="A",N(Inputs_Actuals!V60),Project_Register!$W$9)</f>
        <v>95000</v>
      </c>
      <c r="W52" s="60" t="n">
        <f aca="false">IF(W$5="A",N(Inputs_Actuals!W60),Project_Register!$W$9)</f>
        <v>95000</v>
      </c>
      <c r="X52" s="60" t="n">
        <f aca="false">IF(X$5="A",N(Inputs_Actuals!X60),Project_Register!$W$9)</f>
        <v>95000</v>
      </c>
      <c r="Y52" s="60" t="n">
        <f aca="false">IF(Y$5="A",N(Inputs_Actuals!Y60),Project_Register!$W$9)</f>
        <v>95000</v>
      </c>
      <c r="Z52" s="60" t="n">
        <f aca="false">IF(Z$5="A",N(Inputs_Actuals!Z60),Project_Register!$W$9)</f>
        <v>95000</v>
      </c>
      <c r="AA52" s="60" t="n">
        <f aca="false">IF(AA$5="A",N(Inputs_Actuals!AA60),Project_Register!$W$9)</f>
        <v>95000</v>
      </c>
      <c r="AB52" s="60" t="n">
        <f aca="false">IF(AB$5="A",N(Inputs_Actuals!AB60),Project_Register!$W$9)</f>
        <v>95000</v>
      </c>
    </row>
    <row r="53" customFormat="false" ht="15" hidden="false" customHeight="false" outlineLevel="0" collapsed="false">
      <c r="A53" s="28" t="s">
        <v>919</v>
      </c>
      <c r="B53" s="58" t="s">
        <v>920</v>
      </c>
      <c r="C53" s="59" t="n">
        <f aca="false">P53</f>
        <v>95000</v>
      </c>
      <c r="D53" s="59" t="n">
        <f aca="false">AB53</f>
        <v>95000</v>
      </c>
      <c r="E53" s="60" t="n">
        <f aca="false">IF(E$5="A",Project_Register!$Q$9+Inputs_Actuals!E61,E51*E52)</f>
        <v>71449.5</v>
      </c>
      <c r="F53" s="60" t="n">
        <f aca="false">IF(F$5="A",E53+Inputs_Actuals!F61,F51*F52)</f>
        <v>86326.5</v>
      </c>
      <c r="G53" s="60" t="n">
        <f aca="false">IF(G$5="A",F53+Inputs_Actuals!G61,G51*G52)</f>
        <v>95000</v>
      </c>
      <c r="H53" s="60" t="n">
        <f aca="false">IF(H$5="A",G53+Inputs_Actuals!H61,H51*H52)</f>
        <v>95000</v>
      </c>
      <c r="I53" s="60" t="n">
        <f aca="false">IF(I$5="A",H53+Inputs_Actuals!I61,I51*I52)</f>
        <v>95000</v>
      </c>
      <c r="J53" s="60" t="n">
        <f aca="false">IF(J$5="A",I53+Inputs_Actuals!J61,J51*J52)</f>
        <v>95000</v>
      </c>
      <c r="K53" s="60" t="n">
        <f aca="false">IF(K$5="A",J53+Inputs_Actuals!K61,K51*K52)</f>
        <v>95000</v>
      </c>
      <c r="L53" s="60" t="n">
        <f aca="false">IF(L$5="A",K53+Inputs_Actuals!L61,L51*L52)</f>
        <v>95000</v>
      </c>
      <c r="M53" s="60" t="n">
        <f aca="false">IF(M$5="A",L53+Inputs_Actuals!M61,M51*M52)</f>
        <v>95000</v>
      </c>
      <c r="N53" s="60" t="n">
        <f aca="false">IF(N$5="A",M53+Inputs_Actuals!N61,N51*N52)</f>
        <v>95000</v>
      </c>
      <c r="O53" s="60" t="n">
        <f aca="false">IF(O$5="A",N53+Inputs_Actuals!O61,O51*O52)</f>
        <v>95000</v>
      </c>
      <c r="P53" s="60" t="n">
        <f aca="false">IF(P$5="A",O53+Inputs_Actuals!P61,P51*P52)</f>
        <v>95000</v>
      </c>
      <c r="Q53" s="60" t="n">
        <f aca="false">IF(Q$5="A",P53+Inputs_Actuals!Q61,Q51*Q52)</f>
        <v>95000</v>
      </c>
      <c r="R53" s="60" t="n">
        <f aca="false">IF(R$5="A",Q53+Inputs_Actuals!R61,R51*R52)</f>
        <v>95000</v>
      </c>
      <c r="S53" s="60" t="n">
        <f aca="false">IF(S$5="A",R53+Inputs_Actuals!S61,S51*S52)</f>
        <v>95000</v>
      </c>
      <c r="T53" s="60" t="n">
        <f aca="false">IF(T$5="A",S53+Inputs_Actuals!T61,T51*T52)</f>
        <v>95000</v>
      </c>
      <c r="U53" s="60" t="n">
        <f aca="false">IF(U$5="A",T53+Inputs_Actuals!U61,U51*U52)</f>
        <v>95000</v>
      </c>
      <c r="V53" s="60" t="n">
        <f aca="false">IF(V$5="A",U53+Inputs_Actuals!V61,V51*V52)</f>
        <v>95000</v>
      </c>
      <c r="W53" s="60" t="n">
        <f aca="false">IF(W$5="A",V53+Inputs_Actuals!W61,W51*W52)</f>
        <v>95000</v>
      </c>
      <c r="X53" s="60" t="n">
        <f aca="false">IF(X$5="A",W53+Inputs_Actuals!X61,X51*X52)</f>
        <v>95000</v>
      </c>
      <c r="Y53" s="60" t="n">
        <f aca="false">IF(Y$5="A",X53+Inputs_Actuals!Y61,Y51*Y52)</f>
        <v>95000</v>
      </c>
      <c r="Z53" s="60" t="n">
        <f aca="false">IF(Z$5="A",Y53+Inputs_Actuals!Z61,Z51*Z52)</f>
        <v>95000</v>
      </c>
      <c r="AA53" s="60" t="n">
        <f aca="false">IF(AA$5="A",Z53+Inputs_Actuals!AA61,AA51*AA52)</f>
        <v>95000</v>
      </c>
      <c r="AB53" s="60" t="n">
        <f aca="false">IF(AB$5="A",AA53+Inputs_Actuals!AB61,AB51*AB52)</f>
        <v>95000</v>
      </c>
    </row>
    <row r="54" customFormat="false" ht="15" hidden="false" customHeight="false" outlineLevel="0" collapsed="false">
      <c r="A54" s="68" t="s">
        <v>934</v>
      </c>
      <c r="B54" s="69" t="s">
        <v>922</v>
      </c>
      <c r="C54" s="70" t="n">
        <f aca="false">SUM(E54:P54)</f>
        <v>46949</v>
      </c>
      <c r="D54" s="70" t="n">
        <f aca="false">SUM(Q54:AB54)</f>
        <v>0</v>
      </c>
      <c r="E54" s="74" t="n">
        <f aca="false">E53-Project_Register!$Q$9</f>
        <v>23398.5</v>
      </c>
      <c r="F54" s="70" t="n">
        <f aca="false">F53-E53</f>
        <v>14877</v>
      </c>
      <c r="G54" s="70" t="n">
        <f aca="false">G53-F53</f>
        <v>8673.5</v>
      </c>
      <c r="H54" s="70" t="n">
        <f aca="false">H53-G53</f>
        <v>0</v>
      </c>
      <c r="I54" s="70" t="n">
        <f aca="false">I53-H53</f>
        <v>0</v>
      </c>
      <c r="J54" s="70" t="n">
        <f aca="false">J53-I53</f>
        <v>0</v>
      </c>
      <c r="K54" s="70" t="n">
        <f aca="false">K53-J53</f>
        <v>0</v>
      </c>
      <c r="L54" s="70" t="n">
        <f aca="false">L53-K53</f>
        <v>0</v>
      </c>
      <c r="M54" s="70" t="n">
        <f aca="false">M53-L53</f>
        <v>0</v>
      </c>
      <c r="N54" s="70" t="n">
        <f aca="false">N53-M53</f>
        <v>0</v>
      </c>
      <c r="O54" s="70" t="n">
        <f aca="false">O53-N53</f>
        <v>0</v>
      </c>
      <c r="P54" s="70" t="n">
        <f aca="false">P53-O53</f>
        <v>0</v>
      </c>
      <c r="Q54" s="70" t="n">
        <f aca="false">Q53-P53</f>
        <v>0</v>
      </c>
      <c r="R54" s="70" t="n">
        <f aca="false">R53-Q53</f>
        <v>0</v>
      </c>
      <c r="S54" s="70" t="n">
        <f aca="false">S53-R53</f>
        <v>0</v>
      </c>
      <c r="T54" s="70" t="n">
        <f aca="false">T53-S53</f>
        <v>0</v>
      </c>
      <c r="U54" s="70" t="n">
        <f aca="false">U53-T53</f>
        <v>0</v>
      </c>
      <c r="V54" s="70" t="n">
        <f aca="false">V53-U53</f>
        <v>0</v>
      </c>
      <c r="W54" s="70" t="n">
        <f aca="false">W53-V53</f>
        <v>0</v>
      </c>
      <c r="X54" s="70" t="n">
        <f aca="false">X53-W53</f>
        <v>0</v>
      </c>
      <c r="Y54" s="70" t="n">
        <f aca="false">Y53-X53</f>
        <v>0</v>
      </c>
      <c r="Z54" s="70" t="n">
        <f aca="false">Z53-Y53</f>
        <v>0</v>
      </c>
      <c r="AA54" s="70" t="n">
        <f aca="false">AA53-Z53</f>
        <v>0</v>
      </c>
      <c r="AB54" s="70" t="n">
        <f aca="false">AB53-AA53</f>
        <v>0</v>
      </c>
    </row>
    <row r="55" customFormat="false" ht="15" hidden="false" customHeight="false" outlineLevel="0" collapsed="false">
      <c r="A55" s="28" t="s">
        <v>923</v>
      </c>
      <c r="B55" s="58" t="s">
        <v>924</v>
      </c>
      <c r="C55" s="59" t="n">
        <f aca="false">P55</f>
        <v>95000</v>
      </c>
      <c r="D55" s="59" t="n">
        <f aca="false">AB55</f>
        <v>95000</v>
      </c>
      <c r="E55" s="60" t="n">
        <f aca="false">E52*(Assumptions!$C$71*(Assumptions!E$99&gt;=Project_Register!$T$9)+Assumptions!$C$72*(Assumptions!E$99&gt;=Project_Register!$V$9)+Assumptions!$C$73*(Assumptions!E$99&gt;=Project_Register!$U$9))</f>
        <v>66500</v>
      </c>
      <c r="F55" s="60" t="n">
        <f aca="false">F52*(Assumptions!$C$71*(Assumptions!F$99&gt;=Project_Register!$T$9)+Assumptions!$C$72*(Assumptions!F$99&gt;=Project_Register!$V$9)+Assumptions!$C$73*(Assumptions!F$99&gt;=Project_Register!$U$9))</f>
        <v>66500</v>
      </c>
      <c r="G55" s="60" t="n">
        <f aca="false">G52*(Assumptions!$C$71*(Assumptions!G$99&gt;=Project_Register!$T$9)+Assumptions!$C$72*(Assumptions!G$99&gt;=Project_Register!$V$9)+Assumptions!$C$73*(Assumptions!G$99&gt;=Project_Register!$U$9))</f>
        <v>95000</v>
      </c>
      <c r="H55" s="60" t="n">
        <f aca="false">H52*(Assumptions!$C$71*(Assumptions!H$99&gt;=Project_Register!$T$9)+Assumptions!$C$72*(Assumptions!H$99&gt;=Project_Register!$V$9)+Assumptions!$C$73*(Assumptions!H$99&gt;=Project_Register!$U$9))</f>
        <v>95000</v>
      </c>
      <c r="I55" s="60" t="n">
        <f aca="false">I52*(Assumptions!$C$71*(Assumptions!I$99&gt;=Project_Register!$T$9)+Assumptions!$C$72*(Assumptions!I$99&gt;=Project_Register!$V$9)+Assumptions!$C$73*(Assumptions!I$99&gt;=Project_Register!$U$9))</f>
        <v>95000</v>
      </c>
      <c r="J55" s="60" t="n">
        <f aca="false">J52*(Assumptions!$C$71*(Assumptions!J$99&gt;=Project_Register!$T$9)+Assumptions!$C$72*(Assumptions!J$99&gt;=Project_Register!$V$9)+Assumptions!$C$73*(Assumptions!J$99&gt;=Project_Register!$U$9))</f>
        <v>95000</v>
      </c>
      <c r="K55" s="60" t="n">
        <f aca="false">K52*(Assumptions!$C$71*(Assumptions!K$99&gt;=Project_Register!$T$9)+Assumptions!$C$72*(Assumptions!K$99&gt;=Project_Register!$V$9)+Assumptions!$C$73*(Assumptions!K$99&gt;=Project_Register!$U$9))</f>
        <v>95000</v>
      </c>
      <c r="L55" s="60" t="n">
        <f aca="false">L52*(Assumptions!$C$71*(Assumptions!L$99&gt;=Project_Register!$T$9)+Assumptions!$C$72*(Assumptions!L$99&gt;=Project_Register!$V$9)+Assumptions!$C$73*(Assumptions!L$99&gt;=Project_Register!$U$9))</f>
        <v>95000</v>
      </c>
      <c r="M55" s="60" t="n">
        <f aca="false">M52*(Assumptions!$C$71*(Assumptions!M$99&gt;=Project_Register!$T$9)+Assumptions!$C$72*(Assumptions!M$99&gt;=Project_Register!$V$9)+Assumptions!$C$73*(Assumptions!M$99&gt;=Project_Register!$U$9))</f>
        <v>95000</v>
      </c>
      <c r="N55" s="60" t="n">
        <f aca="false">N52*(Assumptions!$C$71*(Assumptions!N$99&gt;=Project_Register!$T$9)+Assumptions!$C$72*(Assumptions!N$99&gt;=Project_Register!$V$9)+Assumptions!$C$73*(Assumptions!N$99&gt;=Project_Register!$U$9))</f>
        <v>95000</v>
      </c>
      <c r="O55" s="60" t="n">
        <f aca="false">O52*(Assumptions!$C$71*(Assumptions!O$99&gt;=Project_Register!$T$9)+Assumptions!$C$72*(Assumptions!O$99&gt;=Project_Register!$V$9)+Assumptions!$C$73*(Assumptions!O$99&gt;=Project_Register!$U$9))</f>
        <v>95000</v>
      </c>
      <c r="P55" s="60" t="n">
        <f aca="false">P52*(Assumptions!$C$71*(Assumptions!P$99&gt;=Project_Register!$T$9)+Assumptions!$C$72*(Assumptions!P$99&gt;=Project_Register!$V$9)+Assumptions!$C$73*(Assumptions!P$99&gt;=Project_Register!$U$9))</f>
        <v>95000</v>
      </c>
      <c r="Q55" s="60" t="n">
        <f aca="false">Q52*(Assumptions!$C$71*(Assumptions!Q$99&gt;=Project_Register!$T$9)+Assumptions!$C$72*(Assumptions!Q$99&gt;=Project_Register!$V$9)+Assumptions!$C$73*(Assumptions!Q$99&gt;=Project_Register!$U$9))</f>
        <v>95000</v>
      </c>
      <c r="R55" s="60" t="n">
        <f aca="false">R52*(Assumptions!$C$71*(Assumptions!R$99&gt;=Project_Register!$T$9)+Assumptions!$C$72*(Assumptions!R$99&gt;=Project_Register!$V$9)+Assumptions!$C$73*(Assumptions!R$99&gt;=Project_Register!$U$9))</f>
        <v>95000</v>
      </c>
      <c r="S55" s="60" t="n">
        <f aca="false">S52*(Assumptions!$C$71*(Assumptions!S$99&gt;=Project_Register!$T$9)+Assumptions!$C$72*(Assumptions!S$99&gt;=Project_Register!$V$9)+Assumptions!$C$73*(Assumptions!S$99&gt;=Project_Register!$U$9))</f>
        <v>95000</v>
      </c>
      <c r="T55" s="60" t="n">
        <f aca="false">T52*(Assumptions!$C$71*(Assumptions!T$99&gt;=Project_Register!$T$9)+Assumptions!$C$72*(Assumptions!T$99&gt;=Project_Register!$V$9)+Assumptions!$C$73*(Assumptions!T$99&gt;=Project_Register!$U$9))</f>
        <v>95000</v>
      </c>
      <c r="U55" s="60" t="n">
        <f aca="false">U52*(Assumptions!$C$71*(Assumptions!U$99&gt;=Project_Register!$T$9)+Assumptions!$C$72*(Assumptions!U$99&gt;=Project_Register!$V$9)+Assumptions!$C$73*(Assumptions!U$99&gt;=Project_Register!$U$9))</f>
        <v>95000</v>
      </c>
      <c r="V55" s="60" t="n">
        <f aca="false">V52*(Assumptions!$C$71*(Assumptions!V$99&gt;=Project_Register!$T$9)+Assumptions!$C$72*(Assumptions!V$99&gt;=Project_Register!$V$9)+Assumptions!$C$73*(Assumptions!V$99&gt;=Project_Register!$U$9))</f>
        <v>95000</v>
      </c>
      <c r="W55" s="60" t="n">
        <f aca="false">W52*(Assumptions!$C$71*(Assumptions!W$99&gt;=Project_Register!$T$9)+Assumptions!$C$72*(Assumptions!W$99&gt;=Project_Register!$V$9)+Assumptions!$C$73*(Assumptions!W$99&gt;=Project_Register!$U$9))</f>
        <v>95000</v>
      </c>
      <c r="X55" s="60" t="n">
        <f aca="false">X52*(Assumptions!$C$71*(Assumptions!X$99&gt;=Project_Register!$T$9)+Assumptions!$C$72*(Assumptions!X$99&gt;=Project_Register!$V$9)+Assumptions!$C$73*(Assumptions!X$99&gt;=Project_Register!$U$9))</f>
        <v>95000</v>
      </c>
      <c r="Y55" s="60" t="n">
        <f aca="false">Y52*(Assumptions!$C$71*(Assumptions!Y$99&gt;=Project_Register!$T$9)+Assumptions!$C$72*(Assumptions!Y$99&gt;=Project_Register!$V$9)+Assumptions!$C$73*(Assumptions!Y$99&gt;=Project_Register!$U$9))</f>
        <v>95000</v>
      </c>
      <c r="Z55" s="60" t="n">
        <f aca="false">Z52*(Assumptions!$C$71*(Assumptions!Z$99&gt;=Project_Register!$T$9)+Assumptions!$C$72*(Assumptions!Z$99&gt;=Project_Register!$V$9)+Assumptions!$C$73*(Assumptions!Z$99&gt;=Project_Register!$U$9))</f>
        <v>95000</v>
      </c>
      <c r="AA55" s="60" t="n">
        <f aca="false">AA52*(Assumptions!$C$71*(Assumptions!AA$99&gt;=Project_Register!$T$9)+Assumptions!$C$72*(Assumptions!AA$99&gt;=Project_Register!$V$9)+Assumptions!$C$73*(Assumptions!AA$99&gt;=Project_Register!$U$9))</f>
        <v>95000</v>
      </c>
      <c r="AB55" s="60" t="n">
        <f aca="false">AB52*(Assumptions!$C$71*(Assumptions!AB$99&gt;=Project_Register!$T$9)+Assumptions!$C$72*(Assumptions!AB$99&gt;=Project_Register!$V$9)+Assumptions!$C$73*(Assumptions!AB$99&gt;=Project_Register!$U$9))</f>
        <v>95000</v>
      </c>
    </row>
    <row r="56" customFormat="false" ht="15" hidden="false" customHeight="false" outlineLevel="0" collapsed="false">
      <c r="A56" s="28" t="s">
        <v>925</v>
      </c>
      <c r="B56" s="58" t="s">
        <v>926</v>
      </c>
      <c r="C56" s="59" t="n">
        <f aca="false">SUM(E56:P56)</f>
        <v>66500</v>
      </c>
      <c r="D56" s="59" t="n">
        <f aca="false">SUM(Q56:AB56)</f>
        <v>0</v>
      </c>
      <c r="E56" s="60" t="n">
        <f aca="false">IF(E$5="A",Inputs_Actuals!E62,MAX(0,E55-Project_Register!$R$9))</f>
        <v>38000</v>
      </c>
      <c r="F56" s="60" t="n">
        <f aca="false">IF(F$5="A",Inputs_Actuals!F62,MAX(0,F55-E57))</f>
        <v>0</v>
      </c>
      <c r="G56" s="60" t="n">
        <f aca="false">IF(G$5="A",Inputs_Actuals!G62,MAX(0,G55-F57))</f>
        <v>28500</v>
      </c>
      <c r="H56" s="60" t="n">
        <f aca="false">IF(H$5="A",Inputs_Actuals!H62,MAX(0,H55-G57))</f>
        <v>0</v>
      </c>
      <c r="I56" s="60" t="n">
        <f aca="false">IF(I$5="A",Inputs_Actuals!I62,MAX(0,I55-H57))</f>
        <v>0</v>
      </c>
      <c r="J56" s="60" t="n">
        <f aca="false">IF(J$5="A",Inputs_Actuals!J62,MAX(0,J55-I57))</f>
        <v>0</v>
      </c>
      <c r="K56" s="60" t="n">
        <f aca="false">IF(K$5="A",Inputs_Actuals!K62,MAX(0,K55-J57))</f>
        <v>0</v>
      </c>
      <c r="L56" s="60" t="n">
        <f aca="false">IF(L$5="A",Inputs_Actuals!L62,MAX(0,L55-K57))</f>
        <v>0</v>
      </c>
      <c r="M56" s="60" t="n">
        <f aca="false">IF(M$5="A",Inputs_Actuals!M62,MAX(0,M55-L57))</f>
        <v>0</v>
      </c>
      <c r="N56" s="60" t="n">
        <f aca="false">IF(N$5="A",Inputs_Actuals!N62,MAX(0,N55-M57))</f>
        <v>0</v>
      </c>
      <c r="O56" s="60" t="n">
        <f aca="false">IF(O$5="A",Inputs_Actuals!O62,MAX(0,O55-N57))</f>
        <v>0</v>
      </c>
      <c r="P56" s="60" t="n">
        <f aca="false">IF(P$5="A",Inputs_Actuals!P62,MAX(0,P55-O57))</f>
        <v>0</v>
      </c>
      <c r="Q56" s="60" t="n">
        <f aca="false">IF(Q$5="A",Inputs_Actuals!Q62,MAX(0,Q55-P57))</f>
        <v>0</v>
      </c>
      <c r="R56" s="60" t="n">
        <f aca="false">IF(R$5="A",Inputs_Actuals!R62,MAX(0,R55-Q57))</f>
        <v>0</v>
      </c>
      <c r="S56" s="60" t="n">
        <f aca="false">IF(S$5="A",Inputs_Actuals!S62,MAX(0,S55-R57))</f>
        <v>0</v>
      </c>
      <c r="T56" s="60" t="n">
        <f aca="false">IF(T$5="A",Inputs_Actuals!T62,MAX(0,T55-S57))</f>
        <v>0</v>
      </c>
      <c r="U56" s="60" t="n">
        <f aca="false">IF(U$5="A",Inputs_Actuals!U62,MAX(0,U55-T57))</f>
        <v>0</v>
      </c>
      <c r="V56" s="60" t="n">
        <f aca="false">IF(V$5="A",Inputs_Actuals!V62,MAX(0,V55-U57))</f>
        <v>0</v>
      </c>
      <c r="W56" s="60" t="n">
        <f aca="false">IF(W$5="A",Inputs_Actuals!W62,MAX(0,W55-V57))</f>
        <v>0</v>
      </c>
      <c r="X56" s="60" t="n">
        <f aca="false">IF(X$5="A",Inputs_Actuals!X62,MAX(0,X55-W57))</f>
        <v>0</v>
      </c>
      <c r="Y56" s="60" t="n">
        <f aca="false">IF(Y$5="A",Inputs_Actuals!Y62,MAX(0,Y55-X57))</f>
        <v>0</v>
      </c>
      <c r="Z56" s="60" t="n">
        <f aca="false">IF(Z$5="A",Inputs_Actuals!Z62,MAX(0,Z55-Y57))</f>
        <v>0</v>
      </c>
      <c r="AA56" s="60" t="n">
        <f aca="false">IF(AA$5="A",Inputs_Actuals!AA62,MAX(0,AA55-Z57))</f>
        <v>0</v>
      </c>
      <c r="AB56" s="60" t="n">
        <f aca="false">IF(AB$5="A",Inputs_Actuals!AB62,MAX(0,AB55-AA57))</f>
        <v>0</v>
      </c>
    </row>
    <row r="57" customFormat="false" ht="15" hidden="false" customHeight="false" outlineLevel="0" collapsed="false">
      <c r="A57" s="28" t="s">
        <v>927</v>
      </c>
      <c r="B57" s="58"/>
      <c r="C57" s="59" t="n">
        <f aca="false">P57</f>
        <v>95000</v>
      </c>
      <c r="D57" s="59" t="n">
        <f aca="false">AB57</f>
        <v>95000</v>
      </c>
      <c r="E57" s="60" t="n">
        <f aca="false">Project_Register!$R$9+E56</f>
        <v>66500</v>
      </c>
      <c r="F57" s="71" t="n">
        <f aca="false">E57+F56</f>
        <v>66500</v>
      </c>
      <c r="G57" s="71" t="n">
        <f aca="false">F57+G56</f>
        <v>95000</v>
      </c>
      <c r="H57" s="71" t="n">
        <f aca="false">G57+H56</f>
        <v>95000</v>
      </c>
      <c r="I57" s="71" t="n">
        <f aca="false">H57+I56</f>
        <v>95000</v>
      </c>
      <c r="J57" s="71" t="n">
        <f aca="false">I57+J56</f>
        <v>95000</v>
      </c>
      <c r="K57" s="71" t="n">
        <f aca="false">J57+K56</f>
        <v>95000</v>
      </c>
      <c r="L57" s="71" t="n">
        <f aca="false">K57+L56</f>
        <v>95000</v>
      </c>
      <c r="M57" s="71" t="n">
        <f aca="false">L57+M56</f>
        <v>95000</v>
      </c>
      <c r="N57" s="71" t="n">
        <f aca="false">M57+N56</f>
        <v>95000</v>
      </c>
      <c r="O57" s="71" t="n">
        <f aca="false">N57+O56</f>
        <v>95000</v>
      </c>
      <c r="P57" s="71" t="n">
        <f aca="false">O57+P56</f>
        <v>95000</v>
      </c>
      <c r="Q57" s="71" t="n">
        <f aca="false">P57+Q56</f>
        <v>95000</v>
      </c>
      <c r="R57" s="71" t="n">
        <f aca="false">Q57+R56</f>
        <v>95000</v>
      </c>
      <c r="S57" s="71" t="n">
        <f aca="false">R57+S56</f>
        <v>95000</v>
      </c>
      <c r="T57" s="71" t="n">
        <f aca="false">S57+T56</f>
        <v>95000</v>
      </c>
      <c r="U57" s="71" t="n">
        <f aca="false">T57+U56</f>
        <v>95000</v>
      </c>
      <c r="V57" s="71" t="n">
        <f aca="false">U57+V56</f>
        <v>95000</v>
      </c>
      <c r="W57" s="71" t="n">
        <f aca="false">V57+W56</f>
        <v>95000</v>
      </c>
      <c r="X57" s="71" t="n">
        <f aca="false">W57+X56</f>
        <v>95000</v>
      </c>
      <c r="Y57" s="71" t="n">
        <f aca="false">X57+Y56</f>
        <v>95000</v>
      </c>
      <c r="Z57" s="71" t="n">
        <f aca="false">Y57+Z56</f>
        <v>95000</v>
      </c>
      <c r="AA57" s="71" t="n">
        <f aca="false">Z57+AA56</f>
        <v>95000</v>
      </c>
      <c r="AB57" s="71" t="n">
        <f aca="false">AA57+AB56</f>
        <v>95000</v>
      </c>
    </row>
    <row r="58" customFormat="false" ht="15" hidden="false" customHeight="false" outlineLevel="0" collapsed="false">
      <c r="A58" s="28" t="s">
        <v>928</v>
      </c>
      <c r="B58" s="58" t="s">
        <v>929</v>
      </c>
      <c r="C58" s="59" t="n">
        <f aca="false">P58</f>
        <v>0</v>
      </c>
      <c r="D58" s="59" t="n">
        <f aca="false">AB58</f>
        <v>0</v>
      </c>
      <c r="E58" s="71" t="n">
        <f aca="false">E53-E57</f>
        <v>4949.5</v>
      </c>
      <c r="F58" s="71" t="n">
        <f aca="false">F53-F57</f>
        <v>19826.5</v>
      </c>
      <c r="G58" s="71" t="n">
        <f aca="false">G53-G57</f>
        <v>0</v>
      </c>
      <c r="H58" s="71" t="n">
        <f aca="false">H53-H57</f>
        <v>0</v>
      </c>
      <c r="I58" s="71" t="n">
        <f aca="false">I53-I57</f>
        <v>0</v>
      </c>
      <c r="J58" s="71" t="n">
        <f aca="false">J53-J57</f>
        <v>0</v>
      </c>
      <c r="K58" s="71" t="n">
        <f aca="false">K53-K57</f>
        <v>0</v>
      </c>
      <c r="L58" s="71" t="n">
        <f aca="false">L53-L57</f>
        <v>0</v>
      </c>
      <c r="M58" s="71" t="n">
        <f aca="false">M53-M57</f>
        <v>0</v>
      </c>
      <c r="N58" s="71" t="n">
        <f aca="false">N53-N57</f>
        <v>0</v>
      </c>
      <c r="O58" s="71" t="n">
        <f aca="false">O53-O57</f>
        <v>0</v>
      </c>
      <c r="P58" s="71" t="n">
        <f aca="false">P53-P57</f>
        <v>0</v>
      </c>
      <c r="Q58" s="71" t="n">
        <f aca="false">Q53-Q57</f>
        <v>0</v>
      </c>
      <c r="R58" s="71" t="n">
        <f aca="false">R53-R57</f>
        <v>0</v>
      </c>
      <c r="S58" s="71" t="n">
        <f aca="false">S53-S57</f>
        <v>0</v>
      </c>
      <c r="T58" s="71" t="n">
        <f aca="false">T53-T57</f>
        <v>0</v>
      </c>
      <c r="U58" s="71" t="n">
        <f aca="false">U53-U57</f>
        <v>0</v>
      </c>
      <c r="V58" s="71" t="n">
        <f aca="false">V53-V57</f>
        <v>0</v>
      </c>
      <c r="W58" s="71" t="n">
        <f aca="false">W53-W57</f>
        <v>0</v>
      </c>
      <c r="X58" s="71" t="n">
        <f aca="false">X53-X57</f>
        <v>0</v>
      </c>
      <c r="Y58" s="71" t="n">
        <f aca="false">Y53-Y57</f>
        <v>0</v>
      </c>
      <c r="Z58" s="71" t="n">
        <f aca="false">Z53-Z57</f>
        <v>0</v>
      </c>
      <c r="AA58" s="71" t="n">
        <f aca="false">AA53-AA57</f>
        <v>0</v>
      </c>
      <c r="AB58" s="71" t="n">
        <f aca="false">AB53-AB57</f>
        <v>0</v>
      </c>
    </row>
    <row r="59" customFormat="false" ht="15" hidden="false" customHeight="false" outlineLevel="0" collapsed="false">
      <c r="A59" s="28" t="s">
        <v>930</v>
      </c>
      <c r="B59" s="58"/>
      <c r="C59" s="59" t="n">
        <f aca="false">P59</f>
        <v>0</v>
      </c>
      <c r="D59" s="59" t="n">
        <f aca="false">AB59</f>
        <v>0</v>
      </c>
      <c r="E59" s="71" t="n">
        <f aca="false">MAX(0,E52-E53)</f>
        <v>23550.5</v>
      </c>
      <c r="F59" s="71" t="n">
        <f aca="false">MAX(0,F52-F53)</f>
        <v>8673.5</v>
      </c>
      <c r="G59" s="71" t="n">
        <f aca="false">MAX(0,G52-G53)</f>
        <v>0</v>
      </c>
      <c r="H59" s="71" t="n">
        <f aca="false">MAX(0,H52-H53)</f>
        <v>0</v>
      </c>
      <c r="I59" s="71" t="n">
        <f aca="false">MAX(0,I52-I53)</f>
        <v>0</v>
      </c>
      <c r="J59" s="71" t="n">
        <f aca="false">MAX(0,J52-J53)</f>
        <v>0</v>
      </c>
      <c r="K59" s="71" t="n">
        <f aca="false">MAX(0,K52-K53)</f>
        <v>0</v>
      </c>
      <c r="L59" s="71" t="n">
        <f aca="false">MAX(0,L52-L53)</f>
        <v>0</v>
      </c>
      <c r="M59" s="71" t="n">
        <f aca="false">MAX(0,M52-M53)</f>
        <v>0</v>
      </c>
      <c r="N59" s="71" t="n">
        <f aca="false">MAX(0,N52-N53)</f>
        <v>0</v>
      </c>
      <c r="O59" s="71" t="n">
        <f aca="false">MAX(0,O52-O53)</f>
        <v>0</v>
      </c>
      <c r="P59" s="71" t="n">
        <f aca="false">MAX(0,P52-P53)</f>
        <v>0</v>
      </c>
      <c r="Q59" s="71" t="n">
        <f aca="false">MAX(0,Q52-Q53)</f>
        <v>0</v>
      </c>
      <c r="R59" s="71" t="n">
        <f aca="false">MAX(0,R52-R53)</f>
        <v>0</v>
      </c>
      <c r="S59" s="71" t="n">
        <f aca="false">MAX(0,S52-S53)</f>
        <v>0</v>
      </c>
      <c r="T59" s="71" t="n">
        <f aca="false">MAX(0,T52-T53)</f>
        <v>0</v>
      </c>
      <c r="U59" s="71" t="n">
        <f aca="false">MAX(0,U52-U53)</f>
        <v>0</v>
      </c>
      <c r="V59" s="71" t="n">
        <f aca="false">MAX(0,V52-V53)</f>
        <v>0</v>
      </c>
      <c r="W59" s="71" t="n">
        <f aca="false">MAX(0,W52-W53)</f>
        <v>0</v>
      </c>
      <c r="X59" s="71" t="n">
        <f aca="false">MAX(0,X52-X53)</f>
        <v>0</v>
      </c>
      <c r="Y59" s="71" t="n">
        <f aca="false">MAX(0,Y52-Y53)</f>
        <v>0</v>
      </c>
      <c r="Z59" s="71" t="n">
        <f aca="false">MAX(0,Z52-Z53)</f>
        <v>0</v>
      </c>
      <c r="AA59" s="71" t="n">
        <f aca="false">MAX(0,AA52-AA53)</f>
        <v>0</v>
      </c>
      <c r="AB59" s="71" t="n">
        <f aca="false">MAX(0,AB52-AB53)</f>
        <v>0</v>
      </c>
    </row>
    <row r="60" customFormat="false" ht="15" hidden="false" customHeight="false" outlineLevel="0" collapsed="false">
      <c r="A60" s="28" t="s">
        <v>931</v>
      </c>
      <c r="B60" s="58" t="s">
        <v>932</v>
      </c>
      <c r="E60" s="71" t="n">
        <f aca="false">IF(E$5="A",ROUND(E53-E51*E52,0),0)</f>
        <v>0</v>
      </c>
      <c r="F60" s="71" t="n">
        <f aca="false">IF(F$5="A",ROUND(F53-F51*F52,0),0)</f>
        <v>0</v>
      </c>
      <c r="G60" s="71" t="n">
        <f aca="false">IF(G$5="A",ROUND(G53-G51*G52,0),0)</f>
        <v>0</v>
      </c>
      <c r="H60" s="71" t="n">
        <f aca="false">IF(H$5="A",ROUND(H53-H51*H52,0),0)</f>
        <v>0</v>
      </c>
      <c r="I60" s="71" t="n">
        <f aca="false">IF(I$5="A",ROUND(I53-I51*I52,0),0)</f>
        <v>0</v>
      </c>
      <c r="J60" s="71" t="n">
        <f aca="false">IF(J$5="A",ROUND(J53-J51*J52,0),0)</f>
        <v>0</v>
      </c>
      <c r="K60" s="71" t="n">
        <f aca="false">IF(K$5="A",ROUND(K53-K51*K52,0),0)</f>
        <v>0</v>
      </c>
      <c r="L60" s="71" t="n">
        <f aca="false">IF(L$5="A",ROUND(L53-L51*L52,0),0)</f>
        <v>0</v>
      </c>
      <c r="M60" s="71" t="n">
        <f aca="false">IF(M$5="A",ROUND(M53-M51*M52,0),0)</f>
        <v>0</v>
      </c>
      <c r="N60" s="71" t="n">
        <f aca="false">IF(N$5="A",ROUND(N53-N51*N52,0),0)</f>
        <v>0</v>
      </c>
      <c r="O60" s="71" t="n">
        <f aca="false">IF(O$5="A",ROUND(O53-O51*O52,0),0)</f>
        <v>0</v>
      </c>
      <c r="P60" s="71" t="n">
        <f aca="false">IF(P$5="A",ROUND(P53-P51*P52,0),0)</f>
        <v>0</v>
      </c>
      <c r="Q60" s="71" t="n">
        <f aca="false">IF(Q$5="A",ROUND(Q53-Q51*Q52,0),0)</f>
        <v>0</v>
      </c>
      <c r="R60" s="71" t="n">
        <f aca="false">IF(R$5="A",ROUND(R53-R51*R52,0),0)</f>
        <v>0</v>
      </c>
      <c r="S60" s="71" t="n">
        <f aca="false">IF(S$5="A",ROUND(S53-S51*S52,0),0)</f>
        <v>0</v>
      </c>
      <c r="T60" s="71" t="n">
        <f aca="false">IF(T$5="A",ROUND(T53-T51*T52,0),0)</f>
        <v>0</v>
      </c>
      <c r="U60" s="71" t="n">
        <f aca="false">IF(U$5="A",ROUND(U53-U51*U52,0),0)</f>
        <v>0</v>
      </c>
      <c r="V60" s="71" t="n">
        <f aca="false">IF(V$5="A",ROUND(V53-V51*V52,0),0)</f>
        <v>0</v>
      </c>
      <c r="W60" s="71" t="n">
        <f aca="false">IF(W$5="A",ROUND(W53-W51*W52,0),0)</f>
        <v>0</v>
      </c>
      <c r="X60" s="71" t="n">
        <f aca="false">IF(X$5="A",ROUND(X53-X51*X52,0),0)</f>
        <v>0</v>
      </c>
      <c r="Y60" s="71" t="n">
        <f aca="false">IF(Y$5="A",ROUND(Y53-Y51*Y52,0),0)</f>
        <v>0</v>
      </c>
      <c r="Z60" s="71" t="n">
        <f aca="false">IF(Z$5="A",ROUND(Z53-Z51*Z52,0),0)</f>
        <v>0</v>
      </c>
      <c r="AA60" s="71" t="n">
        <f aca="false">IF(AA$5="A",ROUND(AA53-AA51*AA52,0),0)</f>
        <v>0</v>
      </c>
      <c r="AB60" s="71" t="n">
        <f aca="false">IF(AB$5="A",ROUND(AB53-AB51*AB52,0),0)</f>
        <v>0</v>
      </c>
    </row>
    <row r="62" customFormat="false" ht="15" hidden="false" customHeight="false" outlineLevel="0" collapsed="false">
      <c r="A62" s="22" t="s">
        <v>936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row>
    <row r="63" customFormat="false" ht="15" hidden="false" customHeight="false" outlineLevel="0" collapsed="false">
      <c r="A63" s="28" t="s">
        <v>905</v>
      </c>
      <c r="B63" s="58" t="s">
        <v>906</v>
      </c>
      <c r="E63" s="112" t="n">
        <f aca="false">MIN(1,MAX(0,(Assumptions!E$99-Project_Register!$T$10+1)/(Project_Register!$U$10-Project_Register!$T$10+1)))</f>
        <v>0</v>
      </c>
      <c r="F63" s="112" t="n">
        <f aca="false">MIN(1,MAX(0,(Assumptions!F$99-Project_Register!$T$10+1)/(Project_Register!$U$10-Project_Register!$T$10+1)))</f>
        <v>0.111111111111111</v>
      </c>
      <c r="G63" s="112" t="n">
        <f aca="false">MIN(1,MAX(0,(Assumptions!G$99-Project_Register!$T$10+1)/(Project_Register!$U$10-Project_Register!$T$10+1)))</f>
        <v>0.222222222222222</v>
      </c>
      <c r="H63" s="112" t="n">
        <f aca="false">MIN(1,MAX(0,(Assumptions!H$99-Project_Register!$T$10+1)/(Project_Register!$U$10-Project_Register!$T$10+1)))</f>
        <v>0.333333333333333</v>
      </c>
      <c r="I63" s="112" t="n">
        <f aca="false">MIN(1,MAX(0,(Assumptions!I$99-Project_Register!$T$10+1)/(Project_Register!$U$10-Project_Register!$T$10+1)))</f>
        <v>0.444444444444444</v>
      </c>
      <c r="J63" s="112" t="n">
        <f aca="false">MIN(1,MAX(0,(Assumptions!J$99-Project_Register!$T$10+1)/(Project_Register!$U$10-Project_Register!$T$10+1)))</f>
        <v>0.555555555555556</v>
      </c>
      <c r="K63" s="112" t="n">
        <f aca="false">MIN(1,MAX(0,(Assumptions!K$99-Project_Register!$T$10+1)/(Project_Register!$U$10-Project_Register!$T$10+1)))</f>
        <v>0.666666666666667</v>
      </c>
      <c r="L63" s="112" t="n">
        <f aca="false">MIN(1,MAX(0,(Assumptions!L$99-Project_Register!$T$10+1)/(Project_Register!$U$10-Project_Register!$T$10+1)))</f>
        <v>0.777777777777778</v>
      </c>
      <c r="M63" s="112" t="n">
        <f aca="false">MIN(1,MAX(0,(Assumptions!M$99-Project_Register!$T$10+1)/(Project_Register!$U$10-Project_Register!$T$10+1)))</f>
        <v>0.888888888888889</v>
      </c>
      <c r="N63" s="112" t="n">
        <f aca="false">MIN(1,MAX(0,(Assumptions!N$99-Project_Register!$T$10+1)/(Project_Register!$U$10-Project_Register!$T$10+1)))</f>
        <v>1</v>
      </c>
      <c r="O63" s="112" t="n">
        <f aca="false">MIN(1,MAX(0,(Assumptions!O$99-Project_Register!$T$10+1)/(Project_Register!$U$10-Project_Register!$T$10+1)))</f>
        <v>1</v>
      </c>
      <c r="P63" s="112" t="n">
        <f aca="false">MIN(1,MAX(0,(Assumptions!P$99-Project_Register!$T$10+1)/(Project_Register!$U$10-Project_Register!$T$10+1)))</f>
        <v>1</v>
      </c>
      <c r="Q63" s="112" t="n">
        <f aca="false">MIN(1,MAX(0,(Assumptions!Q$99-Project_Register!$T$10+1)/(Project_Register!$U$10-Project_Register!$T$10+1)))</f>
        <v>1</v>
      </c>
      <c r="R63" s="112" t="n">
        <f aca="false">MIN(1,MAX(0,(Assumptions!R$99-Project_Register!$T$10+1)/(Project_Register!$U$10-Project_Register!$T$10+1)))</f>
        <v>1</v>
      </c>
      <c r="S63" s="112" t="n">
        <f aca="false">MIN(1,MAX(0,(Assumptions!S$99-Project_Register!$T$10+1)/(Project_Register!$U$10-Project_Register!$T$10+1)))</f>
        <v>1</v>
      </c>
      <c r="T63" s="112" t="n">
        <f aca="false">MIN(1,MAX(0,(Assumptions!T$99-Project_Register!$T$10+1)/(Project_Register!$U$10-Project_Register!$T$10+1)))</f>
        <v>1</v>
      </c>
      <c r="U63" s="112" t="n">
        <f aca="false">MIN(1,MAX(0,(Assumptions!U$99-Project_Register!$T$10+1)/(Project_Register!$U$10-Project_Register!$T$10+1)))</f>
        <v>1</v>
      </c>
      <c r="V63" s="112" t="n">
        <f aca="false">MIN(1,MAX(0,(Assumptions!V$99-Project_Register!$T$10+1)/(Project_Register!$U$10-Project_Register!$T$10+1)))</f>
        <v>1</v>
      </c>
      <c r="W63" s="112" t="n">
        <f aca="false">MIN(1,MAX(0,(Assumptions!W$99-Project_Register!$T$10+1)/(Project_Register!$U$10-Project_Register!$T$10+1)))</f>
        <v>1</v>
      </c>
      <c r="X63" s="112" t="n">
        <f aca="false">MIN(1,MAX(0,(Assumptions!X$99-Project_Register!$T$10+1)/(Project_Register!$U$10-Project_Register!$T$10+1)))</f>
        <v>1</v>
      </c>
      <c r="Y63" s="112" t="n">
        <f aca="false">MIN(1,MAX(0,(Assumptions!Y$99-Project_Register!$T$10+1)/(Project_Register!$U$10-Project_Register!$T$10+1)))</f>
        <v>1</v>
      </c>
      <c r="Z63" s="112" t="n">
        <f aca="false">MIN(1,MAX(0,(Assumptions!Z$99-Project_Register!$T$10+1)/(Project_Register!$U$10-Project_Register!$T$10+1)))</f>
        <v>1</v>
      </c>
      <c r="AA63" s="112" t="n">
        <f aca="false">MIN(1,MAX(0,(Assumptions!AA$99-Project_Register!$T$10+1)/(Project_Register!$U$10-Project_Register!$T$10+1)))</f>
        <v>1</v>
      </c>
      <c r="AB63" s="112" t="n">
        <f aca="false">MIN(1,MAX(0,(Assumptions!AB$99-Project_Register!$T$10+1)/(Project_Register!$U$10-Project_Register!$T$10+1)))</f>
        <v>1</v>
      </c>
    </row>
    <row r="64" customFormat="false" ht="15" hidden="false" customHeight="false" outlineLevel="0" collapsed="false">
      <c r="A64" s="28" t="s">
        <v>907</v>
      </c>
      <c r="B64" s="58" t="s">
        <v>908</v>
      </c>
      <c r="E64" s="113" t="n">
        <f aca="false">3*E63^2-2*E63^3</f>
        <v>0</v>
      </c>
      <c r="F64" s="113" t="n">
        <f aca="false">3*F63^2-2*F63^3</f>
        <v>0.0342935528120713</v>
      </c>
      <c r="G64" s="113" t="n">
        <f aca="false">3*G63^2-2*G63^3</f>
        <v>0.126200274348423</v>
      </c>
      <c r="H64" s="113" t="n">
        <f aca="false">3*H63^2-2*H63^3</f>
        <v>0.259259259259259</v>
      </c>
      <c r="I64" s="113" t="n">
        <f aca="false">3*I63^2-2*I63^3</f>
        <v>0.417009602194787</v>
      </c>
      <c r="J64" s="113" t="n">
        <f aca="false">3*J63^2-2*J63^3</f>
        <v>0.582990397805213</v>
      </c>
      <c r="K64" s="113" t="n">
        <f aca="false">3*K63^2-2*K63^3</f>
        <v>0.740740740740741</v>
      </c>
      <c r="L64" s="113" t="n">
        <f aca="false">3*L63^2-2*L63^3</f>
        <v>0.873799725651578</v>
      </c>
      <c r="M64" s="113" t="n">
        <f aca="false">3*M63^2-2*M63^3</f>
        <v>0.965706447187929</v>
      </c>
      <c r="N64" s="113" t="n">
        <f aca="false">3*N63^2-2*N63^3</f>
        <v>1</v>
      </c>
      <c r="O64" s="113" t="n">
        <f aca="false">3*O63^2-2*O63^3</f>
        <v>1</v>
      </c>
      <c r="P64" s="113" t="n">
        <f aca="false">3*P63^2-2*P63^3</f>
        <v>1</v>
      </c>
      <c r="Q64" s="113" t="n">
        <f aca="false">3*Q63^2-2*Q63^3</f>
        <v>1</v>
      </c>
      <c r="R64" s="113" t="n">
        <f aca="false">3*R63^2-2*R63^3</f>
        <v>1</v>
      </c>
      <c r="S64" s="113" t="n">
        <f aca="false">3*S63^2-2*S63^3</f>
        <v>1</v>
      </c>
      <c r="T64" s="113" t="n">
        <f aca="false">3*T63^2-2*T63^3</f>
        <v>1</v>
      </c>
      <c r="U64" s="113" t="n">
        <f aca="false">3*U63^2-2*U63^3</f>
        <v>1</v>
      </c>
      <c r="V64" s="113" t="n">
        <f aca="false">3*V63^2-2*V63^3</f>
        <v>1</v>
      </c>
      <c r="W64" s="113" t="n">
        <f aca="false">3*W63^2-2*W63^3</f>
        <v>1</v>
      </c>
      <c r="X64" s="113" t="n">
        <f aca="false">3*X63^2-2*X63^3</f>
        <v>1</v>
      </c>
      <c r="Y64" s="113" t="n">
        <f aca="false">3*Y63^2-2*Y63^3</f>
        <v>1</v>
      </c>
      <c r="Z64" s="113" t="n">
        <f aca="false">3*Z63^2-2*Z63^3</f>
        <v>1</v>
      </c>
      <c r="AA64" s="113" t="n">
        <f aca="false">3*AA63^2-2*AA63^3</f>
        <v>1</v>
      </c>
      <c r="AB64" s="113" t="n">
        <f aca="false">3*AB63^2-2*AB63^3</f>
        <v>1</v>
      </c>
    </row>
    <row r="65" customFormat="false" ht="15" hidden="false" customHeight="false" outlineLevel="0" collapsed="false">
      <c r="A65" s="28" t="s">
        <v>909</v>
      </c>
      <c r="B65" s="58"/>
      <c r="E65" s="112" t="n">
        <f aca="false">3*MIN(1,MAX(0,(Assumptions!E$99-Project_Register!$T$10)/(Project_Register!$U$10-Project_Register!$T$10+1)))^2-2*MIN(1,MAX(0,(Assumptions!E$99-Project_Register!$T$10)/(Project_Register!$U$10-Project_Register!$T$10+1)))^3</f>
        <v>0</v>
      </c>
      <c r="F65" s="112" t="n">
        <f aca="false">3*MIN(1,MAX(0,(Assumptions!F$99-Project_Register!$T$10)/(Project_Register!$U$10-Project_Register!$T$10+1)))^2-2*MIN(1,MAX(0,(Assumptions!F$99-Project_Register!$T$10)/(Project_Register!$U$10-Project_Register!$T$10+1)))^3</f>
        <v>0</v>
      </c>
      <c r="G65" s="112" t="n">
        <f aca="false">3*MIN(1,MAX(0,(Assumptions!G$99-Project_Register!$T$10)/(Project_Register!$U$10-Project_Register!$T$10+1)))^2-2*MIN(1,MAX(0,(Assumptions!G$99-Project_Register!$T$10)/(Project_Register!$U$10-Project_Register!$T$10+1)))^3</f>
        <v>0.0342935528120713</v>
      </c>
      <c r="H65" s="112" t="n">
        <f aca="false">3*MIN(1,MAX(0,(Assumptions!H$99-Project_Register!$T$10)/(Project_Register!$U$10-Project_Register!$T$10+1)))^2-2*MIN(1,MAX(0,(Assumptions!H$99-Project_Register!$T$10)/(Project_Register!$U$10-Project_Register!$T$10+1)))^3</f>
        <v>0.126200274348423</v>
      </c>
      <c r="I65" s="112" t="n">
        <f aca="false">3*MIN(1,MAX(0,(Assumptions!I$99-Project_Register!$T$10)/(Project_Register!$U$10-Project_Register!$T$10+1)))^2-2*MIN(1,MAX(0,(Assumptions!I$99-Project_Register!$T$10)/(Project_Register!$U$10-Project_Register!$T$10+1)))^3</f>
        <v>0.259259259259259</v>
      </c>
      <c r="J65" s="112" t="n">
        <f aca="false">3*MIN(1,MAX(0,(Assumptions!J$99-Project_Register!$T$10)/(Project_Register!$U$10-Project_Register!$T$10+1)))^2-2*MIN(1,MAX(0,(Assumptions!J$99-Project_Register!$T$10)/(Project_Register!$U$10-Project_Register!$T$10+1)))^3</f>
        <v>0.417009602194787</v>
      </c>
      <c r="K65" s="112" t="n">
        <f aca="false">3*MIN(1,MAX(0,(Assumptions!K$99-Project_Register!$T$10)/(Project_Register!$U$10-Project_Register!$T$10+1)))^2-2*MIN(1,MAX(0,(Assumptions!K$99-Project_Register!$T$10)/(Project_Register!$U$10-Project_Register!$T$10+1)))^3</f>
        <v>0.582990397805213</v>
      </c>
      <c r="L65" s="112" t="n">
        <f aca="false">3*MIN(1,MAX(0,(Assumptions!L$99-Project_Register!$T$10)/(Project_Register!$U$10-Project_Register!$T$10+1)))^2-2*MIN(1,MAX(0,(Assumptions!L$99-Project_Register!$T$10)/(Project_Register!$U$10-Project_Register!$T$10+1)))^3</f>
        <v>0.740740740740741</v>
      </c>
      <c r="M65" s="112" t="n">
        <f aca="false">3*MIN(1,MAX(0,(Assumptions!M$99-Project_Register!$T$10)/(Project_Register!$U$10-Project_Register!$T$10+1)))^2-2*MIN(1,MAX(0,(Assumptions!M$99-Project_Register!$T$10)/(Project_Register!$U$10-Project_Register!$T$10+1)))^3</f>
        <v>0.873799725651578</v>
      </c>
      <c r="N65" s="112" t="n">
        <f aca="false">3*MIN(1,MAX(0,(Assumptions!N$99-Project_Register!$T$10)/(Project_Register!$U$10-Project_Register!$T$10+1)))^2-2*MIN(1,MAX(0,(Assumptions!N$99-Project_Register!$T$10)/(Project_Register!$U$10-Project_Register!$T$10+1)))^3</f>
        <v>0.965706447187929</v>
      </c>
      <c r="O65" s="112" t="n">
        <f aca="false">3*MIN(1,MAX(0,(Assumptions!O$99-Project_Register!$T$10)/(Project_Register!$U$10-Project_Register!$T$10+1)))^2-2*MIN(1,MAX(0,(Assumptions!O$99-Project_Register!$T$10)/(Project_Register!$U$10-Project_Register!$T$10+1)))^3</f>
        <v>1</v>
      </c>
      <c r="P65" s="112" t="n">
        <f aca="false">3*MIN(1,MAX(0,(Assumptions!P$99-Project_Register!$T$10)/(Project_Register!$U$10-Project_Register!$T$10+1)))^2-2*MIN(1,MAX(0,(Assumptions!P$99-Project_Register!$T$10)/(Project_Register!$U$10-Project_Register!$T$10+1)))^3</f>
        <v>1</v>
      </c>
      <c r="Q65" s="112" t="n">
        <f aca="false">3*MIN(1,MAX(0,(Assumptions!Q$99-Project_Register!$T$10)/(Project_Register!$U$10-Project_Register!$T$10+1)))^2-2*MIN(1,MAX(0,(Assumptions!Q$99-Project_Register!$T$10)/(Project_Register!$U$10-Project_Register!$T$10+1)))^3</f>
        <v>1</v>
      </c>
      <c r="R65" s="112" t="n">
        <f aca="false">3*MIN(1,MAX(0,(Assumptions!R$99-Project_Register!$T$10)/(Project_Register!$U$10-Project_Register!$T$10+1)))^2-2*MIN(1,MAX(0,(Assumptions!R$99-Project_Register!$T$10)/(Project_Register!$U$10-Project_Register!$T$10+1)))^3</f>
        <v>1</v>
      </c>
      <c r="S65" s="112" t="n">
        <f aca="false">3*MIN(1,MAX(0,(Assumptions!S$99-Project_Register!$T$10)/(Project_Register!$U$10-Project_Register!$T$10+1)))^2-2*MIN(1,MAX(0,(Assumptions!S$99-Project_Register!$T$10)/(Project_Register!$U$10-Project_Register!$T$10+1)))^3</f>
        <v>1</v>
      </c>
      <c r="T65" s="112" t="n">
        <f aca="false">3*MIN(1,MAX(0,(Assumptions!T$99-Project_Register!$T$10)/(Project_Register!$U$10-Project_Register!$T$10+1)))^2-2*MIN(1,MAX(0,(Assumptions!T$99-Project_Register!$T$10)/(Project_Register!$U$10-Project_Register!$T$10+1)))^3</f>
        <v>1</v>
      </c>
      <c r="U65" s="112" t="n">
        <f aca="false">3*MIN(1,MAX(0,(Assumptions!U$99-Project_Register!$T$10)/(Project_Register!$U$10-Project_Register!$T$10+1)))^2-2*MIN(1,MAX(0,(Assumptions!U$99-Project_Register!$T$10)/(Project_Register!$U$10-Project_Register!$T$10+1)))^3</f>
        <v>1</v>
      </c>
      <c r="V65" s="112" t="n">
        <f aca="false">3*MIN(1,MAX(0,(Assumptions!V$99-Project_Register!$T$10)/(Project_Register!$U$10-Project_Register!$T$10+1)))^2-2*MIN(1,MAX(0,(Assumptions!V$99-Project_Register!$T$10)/(Project_Register!$U$10-Project_Register!$T$10+1)))^3</f>
        <v>1</v>
      </c>
      <c r="W65" s="112" t="n">
        <f aca="false">3*MIN(1,MAX(0,(Assumptions!W$99-Project_Register!$T$10)/(Project_Register!$U$10-Project_Register!$T$10+1)))^2-2*MIN(1,MAX(0,(Assumptions!W$99-Project_Register!$T$10)/(Project_Register!$U$10-Project_Register!$T$10+1)))^3</f>
        <v>1</v>
      </c>
      <c r="X65" s="112" t="n">
        <f aca="false">3*MIN(1,MAX(0,(Assumptions!X$99-Project_Register!$T$10)/(Project_Register!$U$10-Project_Register!$T$10+1)))^2-2*MIN(1,MAX(0,(Assumptions!X$99-Project_Register!$T$10)/(Project_Register!$U$10-Project_Register!$T$10+1)))^3</f>
        <v>1</v>
      </c>
      <c r="Y65" s="112" t="n">
        <f aca="false">3*MIN(1,MAX(0,(Assumptions!Y$99-Project_Register!$T$10)/(Project_Register!$U$10-Project_Register!$T$10+1)))^2-2*MIN(1,MAX(0,(Assumptions!Y$99-Project_Register!$T$10)/(Project_Register!$U$10-Project_Register!$T$10+1)))^3</f>
        <v>1</v>
      </c>
      <c r="Z65" s="112" t="n">
        <f aca="false">3*MIN(1,MAX(0,(Assumptions!Z$99-Project_Register!$T$10)/(Project_Register!$U$10-Project_Register!$T$10+1)))^2-2*MIN(1,MAX(0,(Assumptions!Z$99-Project_Register!$T$10)/(Project_Register!$U$10-Project_Register!$T$10+1)))^3</f>
        <v>1</v>
      </c>
      <c r="AA65" s="112" t="n">
        <f aca="false">3*MIN(1,MAX(0,(Assumptions!AA$99-Project_Register!$T$10)/(Project_Register!$U$10-Project_Register!$T$10+1)))^2-2*MIN(1,MAX(0,(Assumptions!AA$99-Project_Register!$T$10)/(Project_Register!$U$10-Project_Register!$T$10+1)))^3</f>
        <v>1</v>
      </c>
      <c r="AB65" s="112" t="n">
        <f aca="false">3*MIN(1,MAX(0,(Assumptions!AB$99-Project_Register!$T$10)/(Project_Register!$U$10-Project_Register!$T$10+1)))^2-2*MIN(1,MAX(0,(Assumptions!AB$99-Project_Register!$T$10)/(Project_Register!$U$10-Project_Register!$T$10+1)))^3</f>
        <v>1</v>
      </c>
    </row>
    <row r="66" customFormat="false" ht="15" hidden="false" customHeight="false" outlineLevel="0" collapsed="false">
      <c r="A66" s="28" t="s">
        <v>802</v>
      </c>
      <c r="B66" s="58" t="s">
        <v>910</v>
      </c>
      <c r="C66" s="66" t="n">
        <f aca="false">SUM(E66:P66)</f>
        <v>2950</v>
      </c>
      <c r="D66" s="66" t="n">
        <f aca="false">SUM(Q66:AB66)</f>
        <v>0</v>
      </c>
      <c r="E66" s="67" t="n">
        <f aca="false">IF(E$5="A",Inputs_Actuals!E63,IF((Project_Register!$AA$10-Project_Register!$X$10)&lt;=0,0,IF(1-Project_Register!$AC$10&lt;=0.000001,IF(Assumptions!E$99=Assumptions!$C$10+1,(Project_Register!$AA$10-Project_Register!$X$10),0),(Project_Register!$AA$10-Project_Register!$X$10)*(E64-E65)/(1-Project_Register!$AC$10))))</f>
        <v>0</v>
      </c>
      <c r="F66" s="67" t="n">
        <f aca="false">IF(F$5="A",Inputs_Actuals!F63,IF((Project_Register!$AA$10-Project_Register!$X$10)&lt;=0,0,IF(1-Project_Register!$AC$10&lt;=0.000001,IF(Assumptions!F$99=Assumptions!$C$10+1,(Project_Register!$AA$10-Project_Register!$X$10),0),(Project_Register!$AA$10-Project_Register!$X$10)*(F64-F65)/(1-Project_Register!$AC$10))))</f>
        <v>74.8</v>
      </c>
      <c r="G66" s="67" t="n">
        <f aca="false">IF(G$5="A",Inputs_Actuals!G63,IF((Project_Register!$AA$10-Project_Register!$X$10)&lt;=0,0,IF(1-Project_Register!$AC$10&lt;=0.000001,IF(Assumptions!G$99=Assumptions!$C$10+1,(Project_Register!$AA$10-Project_Register!$X$10),0),(Project_Register!$AA$10-Project_Register!$X$10)*(G64-G65)/(1-Project_Register!$AC$10))))</f>
        <v>229.1</v>
      </c>
      <c r="H66" s="67" t="n">
        <f aca="false">IF(H$5="A",Inputs_Actuals!H63,IF((Project_Register!$AA$10-Project_Register!$X$10)&lt;=0,0,IF(1-Project_Register!$AC$10&lt;=0.000001,IF(Assumptions!H$99=Assumptions!$C$10+1,(Project_Register!$AA$10-Project_Register!$X$10),0),(Project_Register!$AA$10-Project_Register!$X$10)*(H64-H65)/(1-Project_Register!$AC$10))))</f>
        <v>313.3</v>
      </c>
      <c r="I66" s="67" t="n">
        <f aca="false">IF(I$5="A",Inputs_Actuals!I63,IF((Project_Register!$AA$10-Project_Register!$X$10)&lt;=0,0,IF(1-Project_Register!$AC$10&lt;=0.000001,IF(Assumptions!I$99=Assumptions!$C$10+1,(Project_Register!$AA$10-Project_Register!$X$10),0),(Project_Register!$AA$10-Project_Register!$X$10)*(I64-I65)/(1-Project_Register!$AC$10))))</f>
        <v>455.4</v>
      </c>
      <c r="J66" s="67" t="n">
        <f aca="false">IF(J$5="A",Inputs_Actuals!J63,IF((Project_Register!$AA$10-Project_Register!$X$10)&lt;=0,0,IF(1-Project_Register!$AC$10&lt;=0.000001,IF(Assumptions!J$99=Assumptions!$C$10+1,(Project_Register!$AA$10-Project_Register!$X$10),0),(Project_Register!$AA$10-Project_Register!$X$10)*(J64-J65)/(1-Project_Register!$AC$10))))</f>
        <v>504.2</v>
      </c>
      <c r="K66" s="67" t="n">
        <f aca="false">IF(K$5="A",Inputs_Actuals!K63,IF((Project_Register!$AA$10-Project_Register!$X$10)&lt;=0,0,IF(1-Project_Register!$AC$10&lt;=0.000001,IF(Assumptions!K$99=Assumptions!$C$10+1,(Project_Register!$AA$10-Project_Register!$X$10),0),(Project_Register!$AA$10-Project_Register!$X$10)*(K64-K65)/(1-Project_Register!$AC$10))))</f>
        <v>476.8</v>
      </c>
      <c r="L66" s="67" t="n">
        <f aca="false">IF(L$5="A",Inputs_Actuals!L63,IF((Project_Register!$AA$10-Project_Register!$X$10)&lt;=0,0,IF(1-Project_Register!$AC$10&lt;=0.000001,IF(Assumptions!L$99=Assumptions!$C$10+1,(Project_Register!$AA$10-Project_Register!$X$10),0),(Project_Register!$AA$10-Project_Register!$X$10)*(L64-L65)/(1-Project_Register!$AC$10))))</f>
        <v>433.7</v>
      </c>
      <c r="M66" s="67" t="n">
        <f aca="false">IF(M$5="A",Inputs_Actuals!M63,IF((Project_Register!$AA$10-Project_Register!$X$10)&lt;=0,0,IF(1-Project_Register!$AC$10&lt;=0.000001,IF(Assumptions!M$99=Assumptions!$C$10+1,(Project_Register!$AA$10-Project_Register!$X$10),0),(Project_Register!$AA$10-Project_Register!$X$10)*(M64-M65)/(1-Project_Register!$AC$10))))</f>
        <v>336.966304347827</v>
      </c>
      <c r="N66" s="67" t="n">
        <f aca="false">IF(N$5="A",Inputs_Actuals!N63,IF((Project_Register!$AA$10-Project_Register!$X$10)&lt;=0,0,IF(1-Project_Register!$AC$10&lt;=0.000001,IF(Assumptions!N$99=Assumptions!$C$10+1,(Project_Register!$AA$10-Project_Register!$X$10),0),(Project_Register!$AA$10-Project_Register!$X$10)*(N64-N65)/(1-Project_Register!$AC$10))))</f>
        <v>125.733695652173</v>
      </c>
      <c r="O66" s="67" t="n">
        <f aca="false">IF(O$5="A",Inputs_Actuals!O63,IF((Project_Register!$AA$10-Project_Register!$X$10)&lt;=0,0,IF(1-Project_Register!$AC$10&lt;=0.000001,IF(Assumptions!O$99=Assumptions!$C$10+1,(Project_Register!$AA$10-Project_Register!$X$10),0),(Project_Register!$AA$10-Project_Register!$X$10)*(O64-O65)/(1-Project_Register!$AC$10))))</f>
        <v>0</v>
      </c>
      <c r="P66" s="67" t="n">
        <f aca="false">IF(P$5="A",Inputs_Actuals!P63,IF((Project_Register!$AA$10-Project_Register!$X$10)&lt;=0,0,IF(1-Project_Register!$AC$10&lt;=0.000001,IF(Assumptions!P$99=Assumptions!$C$10+1,(Project_Register!$AA$10-Project_Register!$X$10),0),(Project_Register!$AA$10-Project_Register!$X$10)*(P64-P65)/(1-Project_Register!$AC$10))))</f>
        <v>0</v>
      </c>
      <c r="Q66" s="67" t="n">
        <f aca="false">IF(Q$5="A",Inputs_Actuals!Q63,IF((Project_Register!$AA$10-Project_Register!$X$10)&lt;=0,0,IF(1-Project_Register!$AC$10&lt;=0.000001,IF(Assumptions!Q$99=Assumptions!$C$10+1,(Project_Register!$AA$10-Project_Register!$X$10),0),(Project_Register!$AA$10-Project_Register!$X$10)*(Q64-Q65)/(1-Project_Register!$AC$10))))</f>
        <v>0</v>
      </c>
      <c r="R66" s="67" t="n">
        <f aca="false">IF(R$5="A",Inputs_Actuals!R63,IF((Project_Register!$AA$10-Project_Register!$X$10)&lt;=0,0,IF(1-Project_Register!$AC$10&lt;=0.000001,IF(Assumptions!R$99=Assumptions!$C$10+1,(Project_Register!$AA$10-Project_Register!$X$10),0),(Project_Register!$AA$10-Project_Register!$X$10)*(R64-R65)/(1-Project_Register!$AC$10))))</f>
        <v>0</v>
      </c>
      <c r="S66" s="67" t="n">
        <f aca="false">IF(S$5="A",Inputs_Actuals!S63,IF((Project_Register!$AA$10-Project_Register!$X$10)&lt;=0,0,IF(1-Project_Register!$AC$10&lt;=0.000001,IF(Assumptions!S$99=Assumptions!$C$10+1,(Project_Register!$AA$10-Project_Register!$X$10),0),(Project_Register!$AA$10-Project_Register!$X$10)*(S64-S65)/(1-Project_Register!$AC$10))))</f>
        <v>0</v>
      </c>
      <c r="T66" s="67" t="n">
        <f aca="false">IF(T$5="A",Inputs_Actuals!T63,IF((Project_Register!$AA$10-Project_Register!$X$10)&lt;=0,0,IF(1-Project_Register!$AC$10&lt;=0.000001,IF(Assumptions!T$99=Assumptions!$C$10+1,(Project_Register!$AA$10-Project_Register!$X$10),0),(Project_Register!$AA$10-Project_Register!$X$10)*(T64-T65)/(1-Project_Register!$AC$10))))</f>
        <v>0</v>
      </c>
      <c r="U66" s="67" t="n">
        <f aca="false">IF(U$5="A",Inputs_Actuals!U63,IF((Project_Register!$AA$10-Project_Register!$X$10)&lt;=0,0,IF(1-Project_Register!$AC$10&lt;=0.000001,IF(Assumptions!U$99=Assumptions!$C$10+1,(Project_Register!$AA$10-Project_Register!$X$10),0),(Project_Register!$AA$10-Project_Register!$X$10)*(U64-U65)/(1-Project_Register!$AC$10))))</f>
        <v>0</v>
      </c>
      <c r="V66" s="67" t="n">
        <f aca="false">IF(V$5="A",Inputs_Actuals!V63,IF((Project_Register!$AA$10-Project_Register!$X$10)&lt;=0,0,IF(1-Project_Register!$AC$10&lt;=0.000001,IF(Assumptions!V$99=Assumptions!$C$10+1,(Project_Register!$AA$10-Project_Register!$X$10),0),(Project_Register!$AA$10-Project_Register!$X$10)*(V64-V65)/(1-Project_Register!$AC$10))))</f>
        <v>0</v>
      </c>
      <c r="W66" s="67" t="n">
        <f aca="false">IF(W$5="A",Inputs_Actuals!W63,IF((Project_Register!$AA$10-Project_Register!$X$10)&lt;=0,0,IF(1-Project_Register!$AC$10&lt;=0.000001,IF(Assumptions!W$99=Assumptions!$C$10+1,(Project_Register!$AA$10-Project_Register!$X$10),0),(Project_Register!$AA$10-Project_Register!$X$10)*(W64-W65)/(1-Project_Register!$AC$10))))</f>
        <v>0</v>
      </c>
      <c r="X66" s="67" t="n">
        <f aca="false">IF(X$5="A",Inputs_Actuals!X63,IF((Project_Register!$AA$10-Project_Register!$X$10)&lt;=0,0,IF(1-Project_Register!$AC$10&lt;=0.000001,IF(Assumptions!X$99=Assumptions!$C$10+1,(Project_Register!$AA$10-Project_Register!$X$10),0),(Project_Register!$AA$10-Project_Register!$X$10)*(X64-X65)/(1-Project_Register!$AC$10))))</f>
        <v>0</v>
      </c>
      <c r="Y66" s="67" t="n">
        <f aca="false">IF(Y$5="A",Inputs_Actuals!Y63,IF((Project_Register!$AA$10-Project_Register!$X$10)&lt;=0,0,IF(1-Project_Register!$AC$10&lt;=0.000001,IF(Assumptions!Y$99=Assumptions!$C$10+1,(Project_Register!$AA$10-Project_Register!$X$10),0),(Project_Register!$AA$10-Project_Register!$X$10)*(Y64-Y65)/(1-Project_Register!$AC$10))))</f>
        <v>0</v>
      </c>
      <c r="Z66" s="67" t="n">
        <f aca="false">IF(Z$5="A",Inputs_Actuals!Z63,IF((Project_Register!$AA$10-Project_Register!$X$10)&lt;=0,0,IF(1-Project_Register!$AC$10&lt;=0.000001,IF(Assumptions!Z$99=Assumptions!$C$10+1,(Project_Register!$AA$10-Project_Register!$X$10),0),(Project_Register!$AA$10-Project_Register!$X$10)*(Z64-Z65)/(1-Project_Register!$AC$10))))</f>
        <v>0</v>
      </c>
      <c r="AA66" s="67" t="n">
        <f aca="false">IF(AA$5="A",Inputs_Actuals!AA63,IF((Project_Register!$AA$10-Project_Register!$X$10)&lt;=0,0,IF(1-Project_Register!$AC$10&lt;=0.000001,IF(Assumptions!AA$99=Assumptions!$C$10+1,(Project_Register!$AA$10-Project_Register!$X$10),0),(Project_Register!$AA$10-Project_Register!$X$10)*(AA64-AA65)/(1-Project_Register!$AC$10))))</f>
        <v>0</v>
      </c>
      <c r="AB66" s="67" t="n">
        <f aca="false">IF(AB$5="A",Inputs_Actuals!AB63,IF((Project_Register!$AA$10-Project_Register!$X$10)&lt;=0,0,IF(1-Project_Register!$AC$10&lt;=0.000001,IF(Assumptions!AB$99=Assumptions!$C$10+1,(Project_Register!$AA$10-Project_Register!$X$10),0),(Project_Register!$AA$10-Project_Register!$X$10)*(AB64-AB65)/(1-Project_Register!$AC$10))))</f>
        <v>0</v>
      </c>
    </row>
    <row r="67" customFormat="false" ht="15" hidden="false" customHeight="false" outlineLevel="0" collapsed="false">
      <c r="A67" s="28" t="s">
        <v>911</v>
      </c>
      <c r="B67" s="58" t="s">
        <v>912</v>
      </c>
      <c r="C67" s="66" t="n">
        <f aca="false">P67</f>
        <v>2950</v>
      </c>
      <c r="D67" s="66" t="n">
        <f aca="false">AB67</f>
        <v>2950</v>
      </c>
      <c r="E67" s="67" t="n">
        <f aca="false">Project_Register!$P$10+E66</f>
        <v>0</v>
      </c>
      <c r="F67" s="72" t="n">
        <f aca="false">E67+F66</f>
        <v>74.8</v>
      </c>
      <c r="G67" s="72" t="n">
        <f aca="false">F67+G66</f>
        <v>303.9</v>
      </c>
      <c r="H67" s="72" t="n">
        <f aca="false">G67+H66</f>
        <v>617.2</v>
      </c>
      <c r="I67" s="72" t="n">
        <f aca="false">H67+I66</f>
        <v>1072.6</v>
      </c>
      <c r="J67" s="72" t="n">
        <f aca="false">I67+J66</f>
        <v>1576.8</v>
      </c>
      <c r="K67" s="72" t="n">
        <f aca="false">J67+K66</f>
        <v>2053.6</v>
      </c>
      <c r="L67" s="72" t="n">
        <f aca="false">K67+L66</f>
        <v>2487.3</v>
      </c>
      <c r="M67" s="72" t="n">
        <f aca="false">L67+M66</f>
        <v>2824.26630434783</v>
      </c>
      <c r="N67" s="72" t="n">
        <f aca="false">M67+N66</f>
        <v>2950</v>
      </c>
      <c r="O67" s="72" t="n">
        <f aca="false">N67+O66</f>
        <v>2950</v>
      </c>
      <c r="P67" s="72" t="n">
        <f aca="false">O67+P66</f>
        <v>2950</v>
      </c>
      <c r="Q67" s="72" t="n">
        <f aca="false">P67+Q66</f>
        <v>2950</v>
      </c>
      <c r="R67" s="72" t="n">
        <f aca="false">Q67+R66</f>
        <v>2950</v>
      </c>
      <c r="S67" s="72" t="n">
        <f aca="false">R67+S66</f>
        <v>2950</v>
      </c>
      <c r="T67" s="72" t="n">
        <f aca="false">S67+T66</f>
        <v>2950</v>
      </c>
      <c r="U67" s="72" t="n">
        <f aca="false">T67+U66</f>
        <v>2950</v>
      </c>
      <c r="V67" s="72" t="n">
        <f aca="false">U67+V66</f>
        <v>2950</v>
      </c>
      <c r="W67" s="72" t="n">
        <f aca="false">V67+W66</f>
        <v>2950</v>
      </c>
      <c r="X67" s="72" t="n">
        <f aca="false">W67+X66</f>
        <v>2950</v>
      </c>
      <c r="Y67" s="72" t="n">
        <f aca="false">X67+Y66</f>
        <v>2950</v>
      </c>
      <c r="Z67" s="72" t="n">
        <f aca="false">Y67+Z66</f>
        <v>2950</v>
      </c>
      <c r="AA67" s="72" t="n">
        <f aca="false">Z67+AA66</f>
        <v>2950</v>
      </c>
      <c r="AB67" s="72" t="n">
        <f aca="false">AA67+AB66</f>
        <v>2950</v>
      </c>
    </row>
    <row r="68" customFormat="false" ht="15" hidden="false" customHeight="false" outlineLevel="0" collapsed="false">
      <c r="A68" s="28" t="s">
        <v>913</v>
      </c>
      <c r="B68" s="58" t="s">
        <v>914</v>
      </c>
      <c r="C68" s="66" t="n">
        <f aca="false">P68</f>
        <v>2950</v>
      </c>
      <c r="D68" s="66" t="n">
        <f aca="false">AB68</f>
        <v>2950</v>
      </c>
      <c r="E68" s="67" t="n">
        <f aca="false">IF(E$5="A",IF(E67+N(Inputs_Actuals!E64)&lt;=0,Project_Register!$AA$10,E67+N(Inputs_Actuals!E64)),Project_Register!$AA$10)</f>
        <v>2950</v>
      </c>
      <c r="F68" s="67" t="n">
        <f aca="false">IF(F$5="A",IF(F67+N(Inputs_Actuals!F64)&lt;=0,Project_Register!$AA$10,F67+N(Inputs_Actuals!F64)),Project_Register!$AA$10)</f>
        <v>2300</v>
      </c>
      <c r="G68" s="67" t="n">
        <f aca="false">IF(G$5="A",IF(G67+N(Inputs_Actuals!G64)&lt;=0,Project_Register!$AA$10,G67+N(Inputs_Actuals!G64)),Project_Register!$AA$10)</f>
        <v>2300</v>
      </c>
      <c r="H68" s="67" t="n">
        <f aca="false">IF(H$5="A",IF(H67+N(Inputs_Actuals!H64)&lt;=0,Project_Register!$AA$10,H67+N(Inputs_Actuals!H64)),Project_Register!$AA$10)</f>
        <v>2300</v>
      </c>
      <c r="I68" s="67" t="n">
        <f aca="false">IF(I$5="A",IF(I67+N(Inputs_Actuals!I64)&lt;=0,Project_Register!$AA$10,I67+N(Inputs_Actuals!I64)),Project_Register!$AA$10)</f>
        <v>2600</v>
      </c>
      <c r="J68" s="67" t="n">
        <f aca="false">IF(J$5="A",IF(J67+N(Inputs_Actuals!J64)&lt;=0,Project_Register!$AA$10,J67+N(Inputs_Actuals!J64)),Project_Register!$AA$10)</f>
        <v>2750</v>
      </c>
      <c r="K68" s="67" t="n">
        <f aca="false">IF(K$5="A",IF(K67+N(Inputs_Actuals!K64)&lt;=0,Project_Register!$AA$10,K67+N(Inputs_Actuals!K64)),Project_Register!$AA$10)</f>
        <v>2900</v>
      </c>
      <c r="L68" s="67" t="n">
        <f aca="false">IF(L$5="A",IF(L67+N(Inputs_Actuals!L64)&lt;=0,Project_Register!$AA$10,L67+N(Inputs_Actuals!L64)),Project_Register!$AA$10)</f>
        <v>2950</v>
      </c>
      <c r="M68" s="67" t="n">
        <f aca="false">IF(M$5="A",IF(M67+N(Inputs_Actuals!M64)&lt;=0,Project_Register!$AA$10,M67+N(Inputs_Actuals!M64)),Project_Register!$AA$10)</f>
        <v>2950</v>
      </c>
      <c r="N68" s="67" t="n">
        <f aca="false">IF(N$5="A",IF(N67+N(Inputs_Actuals!N64)&lt;=0,Project_Register!$AA$10,N67+N(Inputs_Actuals!N64)),Project_Register!$AA$10)</f>
        <v>2950</v>
      </c>
      <c r="O68" s="67" t="n">
        <f aca="false">IF(O$5="A",IF(O67+N(Inputs_Actuals!O64)&lt;=0,Project_Register!$AA$10,O67+N(Inputs_Actuals!O64)),Project_Register!$AA$10)</f>
        <v>2950</v>
      </c>
      <c r="P68" s="67" t="n">
        <f aca="false">IF(P$5="A",IF(P67+N(Inputs_Actuals!P64)&lt;=0,Project_Register!$AA$10,P67+N(Inputs_Actuals!P64)),Project_Register!$AA$10)</f>
        <v>2950</v>
      </c>
      <c r="Q68" s="67" t="n">
        <f aca="false">IF(Q$5="A",IF(Q67+N(Inputs_Actuals!Q64)&lt;=0,Project_Register!$AA$10,Q67+N(Inputs_Actuals!Q64)),Project_Register!$AA$10)</f>
        <v>2950</v>
      </c>
      <c r="R68" s="67" t="n">
        <f aca="false">IF(R$5="A",IF(R67+N(Inputs_Actuals!R64)&lt;=0,Project_Register!$AA$10,R67+N(Inputs_Actuals!R64)),Project_Register!$AA$10)</f>
        <v>2950</v>
      </c>
      <c r="S68" s="67" t="n">
        <f aca="false">IF(S$5="A",IF(S67+N(Inputs_Actuals!S64)&lt;=0,Project_Register!$AA$10,S67+N(Inputs_Actuals!S64)),Project_Register!$AA$10)</f>
        <v>2950</v>
      </c>
      <c r="T68" s="67" t="n">
        <f aca="false">IF(T$5="A",IF(T67+N(Inputs_Actuals!T64)&lt;=0,Project_Register!$AA$10,T67+N(Inputs_Actuals!T64)),Project_Register!$AA$10)</f>
        <v>2950</v>
      </c>
      <c r="U68" s="67" t="n">
        <f aca="false">IF(U$5="A",IF(U67+N(Inputs_Actuals!U64)&lt;=0,Project_Register!$AA$10,U67+N(Inputs_Actuals!U64)),Project_Register!$AA$10)</f>
        <v>2950</v>
      </c>
      <c r="V68" s="67" t="n">
        <f aca="false">IF(V$5="A",IF(V67+N(Inputs_Actuals!V64)&lt;=0,Project_Register!$AA$10,V67+N(Inputs_Actuals!V64)),Project_Register!$AA$10)</f>
        <v>2950</v>
      </c>
      <c r="W68" s="67" t="n">
        <f aca="false">IF(W$5="A",IF(W67+N(Inputs_Actuals!W64)&lt;=0,Project_Register!$AA$10,W67+N(Inputs_Actuals!W64)),Project_Register!$AA$10)</f>
        <v>2950</v>
      </c>
      <c r="X68" s="67" t="n">
        <f aca="false">IF(X$5="A",IF(X67+N(Inputs_Actuals!X64)&lt;=0,Project_Register!$AA$10,X67+N(Inputs_Actuals!X64)),Project_Register!$AA$10)</f>
        <v>2950</v>
      </c>
      <c r="Y68" s="67" t="n">
        <f aca="false">IF(Y$5="A",IF(Y67+N(Inputs_Actuals!Y64)&lt;=0,Project_Register!$AA$10,Y67+N(Inputs_Actuals!Y64)),Project_Register!$AA$10)</f>
        <v>2950</v>
      </c>
      <c r="Z68" s="67" t="n">
        <f aca="false">IF(Z$5="A",IF(Z67+N(Inputs_Actuals!Z64)&lt;=0,Project_Register!$AA$10,Z67+N(Inputs_Actuals!Z64)),Project_Register!$AA$10)</f>
        <v>2950</v>
      </c>
      <c r="AA68" s="67" t="n">
        <f aca="false">IF(AA$5="A",IF(AA67+N(Inputs_Actuals!AA64)&lt;=0,Project_Register!$AA$10,AA67+N(Inputs_Actuals!AA64)),Project_Register!$AA$10)</f>
        <v>2950</v>
      </c>
      <c r="AB68" s="67" t="n">
        <f aca="false">IF(AB$5="A",IF(AB67+N(Inputs_Actuals!AB64)&lt;=0,Project_Register!$AA$10,AB67+N(Inputs_Actuals!AB64)),Project_Register!$AA$10)</f>
        <v>2950</v>
      </c>
    </row>
    <row r="69" customFormat="false" ht="15" hidden="false" customHeight="false" outlineLevel="0" collapsed="false">
      <c r="A69" s="28" t="s">
        <v>915</v>
      </c>
      <c r="B69" s="58" t="s">
        <v>916</v>
      </c>
      <c r="C69" s="61" t="n">
        <f aca="false">P69</f>
        <v>1</v>
      </c>
      <c r="D69" s="61" t="n">
        <f aca="false">AB69</f>
        <v>1</v>
      </c>
      <c r="E69" s="62" t="n">
        <f aca="false">IF(E68&lt;=0,0,MIN(1,E67/E68))</f>
        <v>0</v>
      </c>
      <c r="F69" s="62" t="n">
        <f aca="false">IF(F68&lt;=0,0,MIN(1,F67/F68))</f>
        <v>0.0325217391304348</v>
      </c>
      <c r="G69" s="62" t="n">
        <f aca="false">IF(G68&lt;=0,0,MIN(1,G67/G68))</f>
        <v>0.132130434782609</v>
      </c>
      <c r="H69" s="62" t="n">
        <f aca="false">IF(H68&lt;=0,0,MIN(1,H67/H68))</f>
        <v>0.268347826086957</v>
      </c>
      <c r="I69" s="62" t="n">
        <f aca="false">IF(I68&lt;=0,0,MIN(1,I67/I68))</f>
        <v>0.412538461538462</v>
      </c>
      <c r="J69" s="62" t="n">
        <f aca="false">IF(J68&lt;=0,0,MIN(1,J67/J68))</f>
        <v>0.573381818181818</v>
      </c>
      <c r="K69" s="62" t="n">
        <f aca="false">IF(K68&lt;=0,0,MIN(1,K67/K68))</f>
        <v>0.708137931034483</v>
      </c>
      <c r="L69" s="62" t="n">
        <f aca="false">IF(L68&lt;=0,0,MIN(1,L67/L68))</f>
        <v>0.843152542372881</v>
      </c>
      <c r="M69" s="62" t="n">
        <f aca="false">IF(M68&lt;=0,0,MIN(1,M67/M68))</f>
        <v>0.957378408253501</v>
      </c>
      <c r="N69" s="62" t="n">
        <f aca="false">IF(N68&lt;=0,0,MIN(1,N67/N68))</f>
        <v>1</v>
      </c>
      <c r="O69" s="62" t="n">
        <f aca="false">IF(O68&lt;=0,0,MIN(1,O67/O68))</f>
        <v>1</v>
      </c>
      <c r="P69" s="62" t="n">
        <f aca="false">IF(P68&lt;=0,0,MIN(1,P67/P68))</f>
        <v>1</v>
      </c>
      <c r="Q69" s="62" t="n">
        <f aca="false">IF(Q68&lt;=0,0,MIN(1,Q67/Q68))</f>
        <v>1</v>
      </c>
      <c r="R69" s="62" t="n">
        <f aca="false">IF(R68&lt;=0,0,MIN(1,R67/R68))</f>
        <v>1</v>
      </c>
      <c r="S69" s="62" t="n">
        <f aca="false">IF(S68&lt;=0,0,MIN(1,S67/S68))</f>
        <v>1</v>
      </c>
      <c r="T69" s="62" t="n">
        <f aca="false">IF(T68&lt;=0,0,MIN(1,T67/T68))</f>
        <v>1</v>
      </c>
      <c r="U69" s="62" t="n">
        <f aca="false">IF(U68&lt;=0,0,MIN(1,U67/U68))</f>
        <v>1</v>
      </c>
      <c r="V69" s="62" t="n">
        <f aca="false">IF(V68&lt;=0,0,MIN(1,V67/V68))</f>
        <v>1</v>
      </c>
      <c r="W69" s="62" t="n">
        <f aca="false">IF(W68&lt;=0,0,MIN(1,W67/W68))</f>
        <v>1</v>
      </c>
      <c r="X69" s="62" t="n">
        <f aca="false">IF(X68&lt;=0,0,MIN(1,X67/X68))</f>
        <v>1</v>
      </c>
      <c r="Y69" s="62" t="n">
        <f aca="false">IF(Y68&lt;=0,0,MIN(1,Y67/Y68))</f>
        <v>1</v>
      </c>
      <c r="Z69" s="62" t="n">
        <f aca="false">IF(Z68&lt;=0,0,MIN(1,Z67/Z68))</f>
        <v>1</v>
      </c>
      <c r="AA69" s="62" t="n">
        <f aca="false">IF(AA68&lt;=0,0,MIN(1,AA67/AA68))</f>
        <v>1</v>
      </c>
      <c r="AB69" s="62" t="n">
        <f aca="false">IF(AB68&lt;=0,0,MIN(1,AB67/AB68))</f>
        <v>1</v>
      </c>
    </row>
    <row r="70" customFormat="false" ht="15" hidden="false" customHeight="false" outlineLevel="0" collapsed="false">
      <c r="A70" s="28" t="s">
        <v>917</v>
      </c>
      <c r="B70" s="58" t="s">
        <v>918</v>
      </c>
      <c r="C70" s="59" t="n">
        <f aca="false">P70</f>
        <v>226500</v>
      </c>
      <c r="D70" s="59" t="n">
        <f aca="false">AB70</f>
        <v>226500</v>
      </c>
      <c r="E70" s="60" t="n">
        <f aca="false">IF(E$5="A",N(Inputs_Actuals!E65),Project_Register!$W$10)</f>
        <v>0</v>
      </c>
      <c r="F70" s="60" t="n">
        <f aca="false">IF(F$5="A",N(Inputs_Actuals!F65),Project_Register!$W$10)</f>
        <v>210000</v>
      </c>
      <c r="G70" s="60" t="n">
        <f aca="false">IF(G$5="A",N(Inputs_Actuals!G65),Project_Register!$W$10)</f>
        <v>210000</v>
      </c>
      <c r="H70" s="60" t="n">
        <f aca="false">IF(H$5="A",N(Inputs_Actuals!H65),Project_Register!$W$10)</f>
        <v>210000</v>
      </c>
      <c r="I70" s="60" t="n">
        <f aca="false">IF(I$5="A",N(Inputs_Actuals!I65),Project_Register!$W$10)</f>
        <v>226500</v>
      </c>
      <c r="J70" s="60" t="n">
        <f aca="false">IF(J$5="A",N(Inputs_Actuals!J65),Project_Register!$W$10)</f>
        <v>226500</v>
      </c>
      <c r="K70" s="60" t="n">
        <f aca="false">IF(K$5="A",N(Inputs_Actuals!K65),Project_Register!$W$10)</f>
        <v>226500</v>
      </c>
      <c r="L70" s="60" t="n">
        <f aca="false">IF(L$5="A",N(Inputs_Actuals!L65),Project_Register!$W$10)</f>
        <v>226500</v>
      </c>
      <c r="M70" s="60" t="n">
        <f aca="false">IF(M$5="A",N(Inputs_Actuals!M65),Project_Register!$W$10)</f>
        <v>226500</v>
      </c>
      <c r="N70" s="60" t="n">
        <f aca="false">IF(N$5="A",N(Inputs_Actuals!N65),Project_Register!$W$10)</f>
        <v>226500</v>
      </c>
      <c r="O70" s="60" t="n">
        <f aca="false">IF(O$5="A",N(Inputs_Actuals!O65),Project_Register!$W$10)</f>
        <v>226500</v>
      </c>
      <c r="P70" s="60" t="n">
        <f aca="false">IF(P$5="A",N(Inputs_Actuals!P65),Project_Register!$W$10)</f>
        <v>226500</v>
      </c>
      <c r="Q70" s="60" t="n">
        <f aca="false">IF(Q$5="A",N(Inputs_Actuals!Q65),Project_Register!$W$10)</f>
        <v>226500</v>
      </c>
      <c r="R70" s="60" t="n">
        <f aca="false">IF(R$5="A",N(Inputs_Actuals!R65),Project_Register!$W$10)</f>
        <v>226500</v>
      </c>
      <c r="S70" s="60" t="n">
        <f aca="false">IF(S$5="A",N(Inputs_Actuals!S65),Project_Register!$W$10)</f>
        <v>226500</v>
      </c>
      <c r="T70" s="60" t="n">
        <f aca="false">IF(T$5="A",N(Inputs_Actuals!T65),Project_Register!$W$10)</f>
        <v>226500</v>
      </c>
      <c r="U70" s="60" t="n">
        <f aca="false">IF(U$5="A",N(Inputs_Actuals!U65),Project_Register!$W$10)</f>
        <v>226500</v>
      </c>
      <c r="V70" s="60" t="n">
        <f aca="false">IF(V$5="A",N(Inputs_Actuals!V65),Project_Register!$W$10)</f>
        <v>226500</v>
      </c>
      <c r="W70" s="60" t="n">
        <f aca="false">IF(W$5="A",N(Inputs_Actuals!W65),Project_Register!$W$10)</f>
        <v>226500</v>
      </c>
      <c r="X70" s="60" t="n">
        <f aca="false">IF(X$5="A",N(Inputs_Actuals!X65),Project_Register!$W$10)</f>
        <v>226500</v>
      </c>
      <c r="Y70" s="60" t="n">
        <f aca="false">IF(Y$5="A",N(Inputs_Actuals!Y65),Project_Register!$W$10)</f>
        <v>226500</v>
      </c>
      <c r="Z70" s="60" t="n">
        <f aca="false">IF(Z$5="A",N(Inputs_Actuals!Z65),Project_Register!$W$10)</f>
        <v>226500</v>
      </c>
      <c r="AA70" s="60" t="n">
        <f aca="false">IF(AA$5="A",N(Inputs_Actuals!AA65),Project_Register!$W$10)</f>
        <v>226500</v>
      </c>
      <c r="AB70" s="60" t="n">
        <f aca="false">IF(AB$5="A",N(Inputs_Actuals!AB65),Project_Register!$W$10)</f>
        <v>226500</v>
      </c>
    </row>
    <row r="71" customFormat="false" ht="15" hidden="false" customHeight="false" outlineLevel="0" collapsed="false">
      <c r="A71" s="28" t="s">
        <v>919</v>
      </c>
      <c r="B71" s="58" t="s">
        <v>920</v>
      </c>
      <c r="C71" s="59" t="n">
        <f aca="false">P71</f>
        <v>226500</v>
      </c>
      <c r="D71" s="59" t="n">
        <f aca="false">AB71</f>
        <v>226500</v>
      </c>
      <c r="E71" s="60" t="n">
        <f aca="false">IF(E$5="A",Project_Register!$Q$10+Inputs_Actuals!E66,E69*E70)</f>
        <v>0</v>
      </c>
      <c r="F71" s="60" t="n">
        <f aca="false">IF(F$5="A",E71+Inputs_Actuals!F66,F69*F70)</f>
        <v>6829.57</v>
      </c>
      <c r="G71" s="60" t="n">
        <f aca="false">IF(G$5="A",F71+Inputs_Actuals!G66,G69*G70)</f>
        <v>27747.39</v>
      </c>
      <c r="H71" s="60" t="n">
        <f aca="false">IF(H$5="A",G71+Inputs_Actuals!H66,H69*H70)</f>
        <v>56353.04</v>
      </c>
      <c r="I71" s="60" t="n">
        <f aca="false">IF(I$5="A",H71+Inputs_Actuals!I66,I69*I70)</f>
        <v>93439.96</v>
      </c>
      <c r="J71" s="60" t="n">
        <f aca="false">IF(J$5="A",I71+Inputs_Actuals!J66,J69*J70)</f>
        <v>129870.98</v>
      </c>
      <c r="K71" s="60" t="n">
        <f aca="false">IF(K$5="A",J71+Inputs_Actuals!K66,K69*K70)</f>
        <v>160393.24</v>
      </c>
      <c r="L71" s="60" t="n">
        <f aca="false">IF(L$5="A",K71+Inputs_Actuals!L66,L69*L70)</f>
        <v>190974.05</v>
      </c>
      <c r="M71" s="60" t="n">
        <f aca="false">IF(M$5="A",L71+Inputs_Actuals!M66,M69*M70)</f>
        <v>216846.209469418</v>
      </c>
      <c r="N71" s="60" t="n">
        <f aca="false">IF(N$5="A",M71+Inputs_Actuals!N66,N69*N70)</f>
        <v>226500</v>
      </c>
      <c r="O71" s="60" t="n">
        <f aca="false">IF(O$5="A",N71+Inputs_Actuals!O66,O69*O70)</f>
        <v>226500</v>
      </c>
      <c r="P71" s="60" t="n">
        <f aca="false">IF(P$5="A",O71+Inputs_Actuals!P66,P69*P70)</f>
        <v>226500</v>
      </c>
      <c r="Q71" s="60" t="n">
        <f aca="false">IF(Q$5="A",P71+Inputs_Actuals!Q66,Q69*Q70)</f>
        <v>226500</v>
      </c>
      <c r="R71" s="60" t="n">
        <f aca="false">IF(R$5="A",Q71+Inputs_Actuals!R66,R69*R70)</f>
        <v>226500</v>
      </c>
      <c r="S71" s="60" t="n">
        <f aca="false">IF(S$5="A",R71+Inputs_Actuals!S66,S69*S70)</f>
        <v>226500</v>
      </c>
      <c r="T71" s="60" t="n">
        <f aca="false">IF(T$5="A",S71+Inputs_Actuals!T66,T69*T70)</f>
        <v>226500</v>
      </c>
      <c r="U71" s="60" t="n">
        <f aca="false">IF(U$5="A",T71+Inputs_Actuals!U66,U69*U70)</f>
        <v>226500</v>
      </c>
      <c r="V71" s="60" t="n">
        <f aca="false">IF(V$5="A",U71+Inputs_Actuals!V66,V69*V70)</f>
        <v>226500</v>
      </c>
      <c r="W71" s="60" t="n">
        <f aca="false">IF(W$5="A",V71+Inputs_Actuals!W66,W69*W70)</f>
        <v>226500</v>
      </c>
      <c r="X71" s="60" t="n">
        <f aca="false">IF(X$5="A",W71+Inputs_Actuals!X66,X69*X70)</f>
        <v>226500</v>
      </c>
      <c r="Y71" s="60" t="n">
        <f aca="false">IF(Y$5="A",X71+Inputs_Actuals!Y66,Y69*Y70)</f>
        <v>226500</v>
      </c>
      <c r="Z71" s="60" t="n">
        <f aca="false">IF(Z$5="A",Y71+Inputs_Actuals!Z66,Z69*Z70)</f>
        <v>226500</v>
      </c>
      <c r="AA71" s="60" t="n">
        <f aca="false">IF(AA$5="A",Z71+Inputs_Actuals!AA66,AA69*AA70)</f>
        <v>226500</v>
      </c>
      <c r="AB71" s="60" t="n">
        <f aca="false">IF(AB$5="A",AA71+Inputs_Actuals!AB66,AB69*AB70)</f>
        <v>226500</v>
      </c>
    </row>
    <row r="72" customFormat="false" ht="15" hidden="false" customHeight="false" outlineLevel="0" collapsed="false">
      <c r="A72" s="68" t="s">
        <v>937</v>
      </c>
      <c r="B72" s="69" t="s">
        <v>922</v>
      </c>
      <c r="C72" s="70" t="n">
        <f aca="false">SUM(E72:P72)</f>
        <v>226500</v>
      </c>
      <c r="D72" s="70" t="n">
        <f aca="false">SUM(Q72:AB72)</f>
        <v>0</v>
      </c>
      <c r="E72" s="74" t="n">
        <f aca="false">E71-Project_Register!$Q$10</f>
        <v>0</v>
      </c>
      <c r="F72" s="70" t="n">
        <f aca="false">F71-E71</f>
        <v>6829.57</v>
      </c>
      <c r="G72" s="70" t="n">
        <f aca="false">G71-F71</f>
        <v>20917.82</v>
      </c>
      <c r="H72" s="70" t="n">
        <f aca="false">H71-G71</f>
        <v>28605.65</v>
      </c>
      <c r="I72" s="70" t="n">
        <f aca="false">I71-H71</f>
        <v>37086.92</v>
      </c>
      <c r="J72" s="70" t="n">
        <f aca="false">J71-I71</f>
        <v>36431.02</v>
      </c>
      <c r="K72" s="70" t="n">
        <f aca="false">K71-J71</f>
        <v>30522.26</v>
      </c>
      <c r="L72" s="70" t="n">
        <f aca="false">L71-K71</f>
        <v>30580.81</v>
      </c>
      <c r="M72" s="70" t="n">
        <f aca="false">M71-L71</f>
        <v>25872.1594694179</v>
      </c>
      <c r="N72" s="70" t="n">
        <f aca="false">N71-M71</f>
        <v>9653.7905305821</v>
      </c>
      <c r="O72" s="70" t="n">
        <f aca="false">O71-N71</f>
        <v>0</v>
      </c>
      <c r="P72" s="70" t="n">
        <f aca="false">P71-O71</f>
        <v>0</v>
      </c>
      <c r="Q72" s="70" t="n">
        <f aca="false">Q71-P71</f>
        <v>0</v>
      </c>
      <c r="R72" s="70" t="n">
        <f aca="false">R71-Q71</f>
        <v>0</v>
      </c>
      <c r="S72" s="70" t="n">
        <f aca="false">S71-R71</f>
        <v>0</v>
      </c>
      <c r="T72" s="70" t="n">
        <f aca="false">T71-S71</f>
        <v>0</v>
      </c>
      <c r="U72" s="70" t="n">
        <f aca="false">U71-T71</f>
        <v>0</v>
      </c>
      <c r="V72" s="70" t="n">
        <f aca="false">V71-U71</f>
        <v>0</v>
      </c>
      <c r="W72" s="70" t="n">
        <f aca="false">W71-V71</f>
        <v>0</v>
      </c>
      <c r="X72" s="70" t="n">
        <f aca="false">X71-W71</f>
        <v>0</v>
      </c>
      <c r="Y72" s="70" t="n">
        <f aca="false">Y71-X71</f>
        <v>0</v>
      </c>
      <c r="Z72" s="70" t="n">
        <f aca="false">Z71-Y71</f>
        <v>0</v>
      </c>
      <c r="AA72" s="70" t="n">
        <f aca="false">AA71-Z71</f>
        <v>0</v>
      </c>
      <c r="AB72" s="70" t="n">
        <f aca="false">AB71-AA71</f>
        <v>0</v>
      </c>
    </row>
    <row r="73" customFormat="false" ht="15" hidden="false" customHeight="false" outlineLevel="0" collapsed="false">
      <c r="A73" s="28" t="s">
        <v>923</v>
      </c>
      <c r="B73" s="58" t="s">
        <v>924</v>
      </c>
      <c r="C73" s="59" t="n">
        <f aca="false">P73</f>
        <v>226500</v>
      </c>
      <c r="D73" s="59" t="n">
        <f aca="false">AB73</f>
        <v>226500</v>
      </c>
      <c r="E73" s="60" t="n">
        <f aca="false">E70*(Assumptions!$C$71*(Assumptions!E$99&gt;=Project_Register!$T$10)+Assumptions!$C$72*(Assumptions!E$99&gt;=Project_Register!$V$10)+Assumptions!$C$73*(Assumptions!E$99&gt;=Project_Register!$U$10))</f>
        <v>0</v>
      </c>
      <c r="F73" s="60" t="n">
        <f aca="false">F70*(Assumptions!$C$71*(Assumptions!F$99&gt;=Project_Register!$T$10)+Assumptions!$C$72*(Assumptions!F$99&gt;=Project_Register!$V$10)+Assumptions!$C$73*(Assumptions!F$99&gt;=Project_Register!$U$10))</f>
        <v>63000</v>
      </c>
      <c r="G73" s="60" t="n">
        <f aca="false">G70*(Assumptions!$C$71*(Assumptions!G$99&gt;=Project_Register!$T$10)+Assumptions!$C$72*(Assumptions!G$99&gt;=Project_Register!$V$10)+Assumptions!$C$73*(Assumptions!G$99&gt;=Project_Register!$U$10))</f>
        <v>63000</v>
      </c>
      <c r="H73" s="60" t="n">
        <f aca="false">H70*(Assumptions!$C$71*(Assumptions!H$99&gt;=Project_Register!$T$10)+Assumptions!$C$72*(Assumptions!H$99&gt;=Project_Register!$V$10)+Assumptions!$C$73*(Assumptions!H$99&gt;=Project_Register!$U$10))</f>
        <v>63000</v>
      </c>
      <c r="I73" s="60" t="n">
        <f aca="false">I70*(Assumptions!$C$71*(Assumptions!I$99&gt;=Project_Register!$T$10)+Assumptions!$C$72*(Assumptions!I$99&gt;=Project_Register!$V$10)+Assumptions!$C$73*(Assumptions!I$99&gt;=Project_Register!$U$10))</f>
        <v>67950</v>
      </c>
      <c r="J73" s="60" t="n">
        <f aca="false">J70*(Assumptions!$C$71*(Assumptions!J$99&gt;=Project_Register!$T$10)+Assumptions!$C$72*(Assumptions!J$99&gt;=Project_Register!$V$10)+Assumptions!$C$73*(Assumptions!J$99&gt;=Project_Register!$U$10))</f>
        <v>158550</v>
      </c>
      <c r="K73" s="60" t="n">
        <f aca="false">K70*(Assumptions!$C$71*(Assumptions!K$99&gt;=Project_Register!$T$10)+Assumptions!$C$72*(Assumptions!K$99&gt;=Project_Register!$V$10)+Assumptions!$C$73*(Assumptions!K$99&gt;=Project_Register!$U$10))</f>
        <v>158550</v>
      </c>
      <c r="L73" s="60" t="n">
        <f aca="false">L70*(Assumptions!$C$71*(Assumptions!L$99&gt;=Project_Register!$T$10)+Assumptions!$C$72*(Assumptions!L$99&gt;=Project_Register!$V$10)+Assumptions!$C$73*(Assumptions!L$99&gt;=Project_Register!$U$10))</f>
        <v>158550</v>
      </c>
      <c r="M73" s="60" t="n">
        <f aca="false">M70*(Assumptions!$C$71*(Assumptions!M$99&gt;=Project_Register!$T$10)+Assumptions!$C$72*(Assumptions!M$99&gt;=Project_Register!$V$10)+Assumptions!$C$73*(Assumptions!M$99&gt;=Project_Register!$U$10))</f>
        <v>158550</v>
      </c>
      <c r="N73" s="60" t="n">
        <f aca="false">N70*(Assumptions!$C$71*(Assumptions!N$99&gt;=Project_Register!$T$10)+Assumptions!$C$72*(Assumptions!N$99&gt;=Project_Register!$V$10)+Assumptions!$C$73*(Assumptions!N$99&gt;=Project_Register!$U$10))</f>
        <v>226500</v>
      </c>
      <c r="O73" s="60" t="n">
        <f aca="false">O70*(Assumptions!$C$71*(Assumptions!O$99&gt;=Project_Register!$T$10)+Assumptions!$C$72*(Assumptions!O$99&gt;=Project_Register!$V$10)+Assumptions!$C$73*(Assumptions!O$99&gt;=Project_Register!$U$10))</f>
        <v>226500</v>
      </c>
      <c r="P73" s="60" t="n">
        <f aca="false">P70*(Assumptions!$C$71*(Assumptions!P$99&gt;=Project_Register!$T$10)+Assumptions!$C$72*(Assumptions!P$99&gt;=Project_Register!$V$10)+Assumptions!$C$73*(Assumptions!P$99&gt;=Project_Register!$U$10))</f>
        <v>226500</v>
      </c>
      <c r="Q73" s="60" t="n">
        <f aca="false">Q70*(Assumptions!$C$71*(Assumptions!Q$99&gt;=Project_Register!$T$10)+Assumptions!$C$72*(Assumptions!Q$99&gt;=Project_Register!$V$10)+Assumptions!$C$73*(Assumptions!Q$99&gt;=Project_Register!$U$10))</f>
        <v>226500</v>
      </c>
      <c r="R73" s="60" t="n">
        <f aca="false">R70*(Assumptions!$C$71*(Assumptions!R$99&gt;=Project_Register!$T$10)+Assumptions!$C$72*(Assumptions!R$99&gt;=Project_Register!$V$10)+Assumptions!$C$73*(Assumptions!R$99&gt;=Project_Register!$U$10))</f>
        <v>226500</v>
      </c>
      <c r="S73" s="60" t="n">
        <f aca="false">S70*(Assumptions!$C$71*(Assumptions!S$99&gt;=Project_Register!$T$10)+Assumptions!$C$72*(Assumptions!S$99&gt;=Project_Register!$V$10)+Assumptions!$C$73*(Assumptions!S$99&gt;=Project_Register!$U$10))</f>
        <v>226500</v>
      </c>
      <c r="T73" s="60" t="n">
        <f aca="false">T70*(Assumptions!$C$71*(Assumptions!T$99&gt;=Project_Register!$T$10)+Assumptions!$C$72*(Assumptions!T$99&gt;=Project_Register!$V$10)+Assumptions!$C$73*(Assumptions!T$99&gt;=Project_Register!$U$10))</f>
        <v>226500</v>
      </c>
      <c r="U73" s="60" t="n">
        <f aca="false">U70*(Assumptions!$C$71*(Assumptions!U$99&gt;=Project_Register!$T$10)+Assumptions!$C$72*(Assumptions!U$99&gt;=Project_Register!$V$10)+Assumptions!$C$73*(Assumptions!U$99&gt;=Project_Register!$U$10))</f>
        <v>226500</v>
      </c>
      <c r="V73" s="60" t="n">
        <f aca="false">V70*(Assumptions!$C$71*(Assumptions!V$99&gt;=Project_Register!$T$10)+Assumptions!$C$72*(Assumptions!V$99&gt;=Project_Register!$V$10)+Assumptions!$C$73*(Assumptions!V$99&gt;=Project_Register!$U$10))</f>
        <v>226500</v>
      </c>
      <c r="W73" s="60" t="n">
        <f aca="false">W70*(Assumptions!$C$71*(Assumptions!W$99&gt;=Project_Register!$T$10)+Assumptions!$C$72*(Assumptions!W$99&gt;=Project_Register!$V$10)+Assumptions!$C$73*(Assumptions!W$99&gt;=Project_Register!$U$10))</f>
        <v>226500</v>
      </c>
      <c r="X73" s="60" t="n">
        <f aca="false">X70*(Assumptions!$C$71*(Assumptions!X$99&gt;=Project_Register!$T$10)+Assumptions!$C$72*(Assumptions!X$99&gt;=Project_Register!$V$10)+Assumptions!$C$73*(Assumptions!X$99&gt;=Project_Register!$U$10))</f>
        <v>226500</v>
      </c>
      <c r="Y73" s="60" t="n">
        <f aca="false">Y70*(Assumptions!$C$71*(Assumptions!Y$99&gt;=Project_Register!$T$10)+Assumptions!$C$72*(Assumptions!Y$99&gt;=Project_Register!$V$10)+Assumptions!$C$73*(Assumptions!Y$99&gt;=Project_Register!$U$10))</f>
        <v>226500</v>
      </c>
      <c r="Z73" s="60" t="n">
        <f aca="false">Z70*(Assumptions!$C$71*(Assumptions!Z$99&gt;=Project_Register!$T$10)+Assumptions!$C$72*(Assumptions!Z$99&gt;=Project_Register!$V$10)+Assumptions!$C$73*(Assumptions!Z$99&gt;=Project_Register!$U$10))</f>
        <v>226500</v>
      </c>
      <c r="AA73" s="60" t="n">
        <f aca="false">AA70*(Assumptions!$C$71*(Assumptions!AA$99&gt;=Project_Register!$T$10)+Assumptions!$C$72*(Assumptions!AA$99&gt;=Project_Register!$V$10)+Assumptions!$C$73*(Assumptions!AA$99&gt;=Project_Register!$U$10))</f>
        <v>226500</v>
      </c>
      <c r="AB73" s="60" t="n">
        <f aca="false">AB70*(Assumptions!$C$71*(Assumptions!AB$99&gt;=Project_Register!$T$10)+Assumptions!$C$72*(Assumptions!AB$99&gt;=Project_Register!$V$10)+Assumptions!$C$73*(Assumptions!AB$99&gt;=Project_Register!$U$10))</f>
        <v>226500</v>
      </c>
    </row>
    <row r="74" customFormat="false" ht="15" hidden="false" customHeight="false" outlineLevel="0" collapsed="false">
      <c r="A74" s="28" t="s">
        <v>925</v>
      </c>
      <c r="B74" s="58" t="s">
        <v>926</v>
      </c>
      <c r="C74" s="59" t="n">
        <f aca="false">SUM(E74:P74)</f>
        <v>226500</v>
      </c>
      <c r="D74" s="59" t="n">
        <f aca="false">SUM(Q74:AB74)</f>
        <v>0</v>
      </c>
      <c r="E74" s="60" t="n">
        <f aca="false">IF(E$5="A",Inputs_Actuals!E67,MAX(0,E73-Project_Register!$R$10))</f>
        <v>0</v>
      </c>
      <c r="F74" s="60" t="n">
        <f aca="false">IF(F$5="A",Inputs_Actuals!F67,MAX(0,F73-E75))</f>
        <v>63000</v>
      </c>
      <c r="G74" s="60" t="n">
        <f aca="false">IF(G$5="A",Inputs_Actuals!G67,MAX(0,G73-F75))</f>
        <v>0</v>
      </c>
      <c r="H74" s="60" t="n">
        <f aca="false">IF(H$5="A",Inputs_Actuals!H67,MAX(0,H73-G75))</f>
        <v>0</v>
      </c>
      <c r="I74" s="60" t="n">
        <f aca="false">IF(I$5="A",Inputs_Actuals!I67,MAX(0,I73-H75))</f>
        <v>16500</v>
      </c>
      <c r="J74" s="60" t="n">
        <f aca="false">IF(J$5="A",Inputs_Actuals!J67,MAX(0,J73-I75))</f>
        <v>67500</v>
      </c>
      <c r="K74" s="60" t="n">
        <f aca="false">IF(K$5="A",Inputs_Actuals!K67,MAX(0,K73-J75))</f>
        <v>0</v>
      </c>
      <c r="L74" s="60" t="n">
        <f aca="false">IF(L$5="A",Inputs_Actuals!L67,MAX(0,L73-K75))</f>
        <v>0</v>
      </c>
      <c r="M74" s="60" t="n">
        <f aca="false">IF(M$5="A",Inputs_Actuals!M67,MAX(0,M73-L75))</f>
        <v>11550</v>
      </c>
      <c r="N74" s="60" t="n">
        <f aca="false">IF(N$5="A",Inputs_Actuals!N67,MAX(0,N73-M75))</f>
        <v>67950</v>
      </c>
      <c r="O74" s="60" t="n">
        <f aca="false">IF(O$5="A",Inputs_Actuals!O67,MAX(0,O73-N75))</f>
        <v>0</v>
      </c>
      <c r="P74" s="60" t="n">
        <f aca="false">IF(P$5="A",Inputs_Actuals!P67,MAX(0,P73-O75))</f>
        <v>0</v>
      </c>
      <c r="Q74" s="60" t="n">
        <f aca="false">IF(Q$5="A",Inputs_Actuals!Q67,MAX(0,Q73-P75))</f>
        <v>0</v>
      </c>
      <c r="R74" s="60" t="n">
        <f aca="false">IF(R$5="A",Inputs_Actuals!R67,MAX(0,R73-Q75))</f>
        <v>0</v>
      </c>
      <c r="S74" s="60" t="n">
        <f aca="false">IF(S$5="A",Inputs_Actuals!S67,MAX(0,S73-R75))</f>
        <v>0</v>
      </c>
      <c r="T74" s="60" t="n">
        <f aca="false">IF(T$5="A",Inputs_Actuals!T67,MAX(0,T73-S75))</f>
        <v>0</v>
      </c>
      <c r="U74" s="60" t="n">
        <f aca="false">IF(U$5="A",Inputs_Actuals!U67,MAX(0,U73-T75))</f>
        <v>0</v>
      </c>
      <c r="V74" s="60" t="n">
        <f aca="false">IF(V$5="A",Inputs_Actuals!V67,MAX(0,V73-U75))</f>
        <v>0</v>
      </c>
      <c r="W74" s="60" t="n">
        <f aca="false">IF(W$5="A",Inputs_Actuals!W67,MAX(0,W73-V75))</f>
        <v>0</v>
      </c>
      <c r="X74" s="60" t="n">
        <f aca="false">IF(X$5="A",Inputs_Actuals!X67,MAX(0,X73-W75))</f>
        <v>0</v>
      </c>
      <c r="Y74" s="60" t="n">
        <f aca="false">IF(Y$5="A",Inputs_Actuals!Y67,MAX(0,Y73-X75))</f>
        <v>0</v>
      </c>
      <c r="Z74" s="60" t="n">
        <f aca="false">IF(Z$5="A",Inputs_Actuals!Z67,MAX(0,Z73-Y75))</f>
        <v>0</v>
      </c>
      <c r="AA74" s="60" t="n">
        <f aca="false">IF(AA$5="A",Inputs_Actuals!AA67,MAX(0,AA73-Z75))</f>
        <v>0</v>
      </c>
      <c r="AB74" s="60" t="n">
        <f aca="false">IF(AB$5="A",Inputs_Actuals!AB67,MAX(0,AB73-AA75))</f>
        <v>0</v>
      </c>
    </row>
    <row r="75" customFormat="false" ht="15" hidden="false" customHeight="false" outlineLevel="0" collapsed="false">
      <c r="A75" s="28" t="s">
        <v>927</v>
      </c>
      <c r="B75" s="58"/>
      <c r="C75" s="59" t="n">
        <f aca="false">P75</f>
        <v>226500</v>
      </c>
      <c r="D75" s="59" t="n">
        <f aca="false">AB75</f>
        <v>226500</v>
      </c>
      <c r="E75" s="60" t="n">
        <f aca="false">Project_Register!$R$10+E74</f>
        <v>0</v>
      </c>
      <c r="F75" s="71" t="n">
        <f aca="false">E75+F74</f>
        <v>63000</v>
      </c>
      <c r="G75" s="71" t="n">
        <f aca="false">F75+G74</f>
        <v>63000</v>
      </c>
      <c r="H75" s="71" t="n">
        <f aca="false">G75+H74</f>
        <v>63000</v>
      </c>
      <c r="I75" s="71" t="n">
        <f aca="false">H75+I74</f>
        <v>79500</v>
      </c>
      <c r="J75" s="71" t="n">
        <f aca="false">I75+J74</f>
        <v>147000</v>
      </c>
      <c r="K75" s="71" t="n">
        <f aca="false">J75+K74</f>
        <v>147000</v>
      </c>
      <c r="L75" s="71" t="n">
        <f aca="false">K75+L74</f>
        <v>147000</v>
      </c>
      <c r="M75" s="71" t="n">
        <f aca="false">L75+M74</f>
        <v>158550</v>
      </c>
      <c r="N75" s="71" t="n">
        <f aca="false">M75+N74</f>
        <v>226500</v>
      </c>
      <c r="O75" s="71" t="n">
        <f aca="false">N75+O74</f>
        <v>226500</v>
      </c>
      <c r="P75" s="71" t="n">
        <f aca="false">O75+P74</f>
        <v>226500</v>
      </c>
      <c r="Q75" s="71" t="n">
        <f aca="false">P75+Q74</f>
        <v>226500</v>
      </c>
      <c r="R75" s="71" t="n">
        <f aca="false">Q75+R74</f>
        <v>226500</v>
      </c>
      <c r="S75" s="71" t="n">
        <f aca="false">R75+S74</f>
        <v>226500</v>
      </c>
      <c r="T75" s="71" t="n">
        <f aca="false">S75+T74</f>
        <v>226500</v>
      </c>
      <c r="U75" s="71" t="n">
        <f aca="false">T75+U74</f>
        <v>226500</v>
      </c>
      <c r="V75" s="71" t="n">
        <f aca="false">U75+V74</f>
        <v>226500</v>
      </c>
      <c r="W75" s="71" t="n">
        <f aca="false">V75+W74</f>
        <v>226500</v>
      </c>
      <c r="X75" s="71" t="n">
        <f aca="false">W75+X74</f>
        <v>226500</v>
      </c>
      <c r="Y75" s="71" t="n">
        <f aca="false">X75+Y74</f>
        <v>226500</v>
      </c>
      <c r="Z75" s="71" t="n">
        <f aca="false">Y75+Z74</f>
        <v>226500</v>
      </c>
      <c r="AA75" s="71" t="n">
        <f aca="false">Z75+AA74</f>
        <v>226500</v>
      </c>
      <c r="AB75" s="71" t="n">
        <f aca="false">AA75+AB74</f>
        <v>226500</v>
      </c>
    </row>
    <row r="76" customFormat="false" ht="15" hidden="false" customHeight="false" outlineLevel="0" collapsed="false">
      <c r="A76" s="28" t="s">
        <v>928</v>
      </c>
      <c r="B76" s="58" t="s">
        <v>929</v>
      </c>
      <c r="C76" s="59" t="n">
        <f aca="false">P76</f>
        <v>0</v>
      </c>
      <c r="D76" s="59" t="n">
        <f aca="false">AB76</f>
        <v>0</v>
      </c>
      <c r="E76" s="71" t="n">
        <f aca="false">E71-E75</f>
        <v>0</v>
      </c>
      <c r="F76" s="71" t="n">
        <f aca="false">F71-F75</f>
        <v>-56170.43</v>
      </c>
      <c r="G76" s="71" t="n">
        <f aca="false">G71-G75</f>
        <v>-35252.61</v>
      </c>
      <c r="H76" s="71" t="n">
        <f aca="false">H71-H75</f>
        <v>-6646.96</v>
      </c>
      <c r="I76" s="71" t="n">
        <f aca="false">I71-I75</f>
        <v>13939.96</v>
      </c>
      <c r="J76" s="71" t="n">
        <f aca="false">J71-J75</f>
        <v>-17129.02</v>
      </c>
      <c r="K76" s="71" t="n">
        <f aca="false">K71-K75</f>
        <v>13393.24</v>
      </c>
      <c r="L76" s="71" t="n">
        <f aca="false">L71-L75</f>
        <v>43974.05</v>
      </c>
      <c r="M76" s="71" t="n">
        <f aca="false">M71-M75</f>
        <v>58296.2094694179</v>
      </c>
      <c r="N76" s="71" t="n">
        <f aca="false">N71-N75</f>
        <v>0</v>
      </c>
      <c r="O76" s="71" t="n">
        <f aca="false">O71-O75</f>
        <v>0</v>
      </c>
      <c r="P76" s="71" t="n">
        <f aca="false">P71-P75</f>
        <v>0</v>
      </c>
      <c r="Q76" s="71" t="n">
        <f aca="false">Q71-Q75</f>
        <v>0</v>
      </c>
      <c r="R76" s="71" t="n">
        <f aca="false">R71-R75</f>
        <v>0</v>
      </c>
      <c r="S76" s="71" t="n">
        <f aca="false">S71-S75</f>
        <v>0</v>
      </c>
      <c r="T76" s="71" t="n">
        <f aca="false">T71-T75</f>
        <v>0</v>
      </c>
      <c r="U76" s="71" t="n">
        <f aca="false">U71-U75</f>
        <v>0</v>
      </c>
      <c r="V76" s="71" t="n">
        <f aca="false">V71-V75</f>
        <v>0</v>
      </c>
      <c r="W76" s="71" t="n">
        <f aca="false">W71-W75</f>
        <v>0</v>
      </c>
      <c r="X76" s="71" t="n">
        <f aca="false">X71-X75</f>
        <v>0</v>
      </c>
      <c r="Y76" s="71" t="n">
        <f aca="false">Y71-Y75</f>
        <v>0</v>
      </c>
      <c r="Z76" s="71" t="n">
        <f aca="false">Z71-Z75</f>
        <v>0</v>
      </c>
      <c r="AA76" s="71" t="n">
        <f aca="false">AA71-AA75</f>
        <v>0</v>
      </c>
      <c r="AB76" s="71" t="n">
        <f aca="false">AB71-AB75</f>
        <v>0</v>
      </c>
    </row>
    <row r="77" customFormat="false" ht="15" hidden="false" customHeight="false" outlineLevel="0" collapsed="false">
      <c r="A77" s="28" t="s">
        <v>930</v>
      </c>
      <c r="B77" s="58"/>
      <c r="C77" s="59" t="n">
        <f aca="false">P77</f>
        <v>0</v>
      </c>
      <c r="D77" s="59" t="n">
        <f aca="false">AB77</f>
        <v>0</v>
      </c>
      <c r="E77" s="71" t="n">
        <f aca="false">MAX(0,E70-E71)</f>
        <v>0</v>
      </c>
      <c r="F77" s="71" t="n">
        <f aca="false">MAX(0,F70-F71)</f>
        <v>203170.43</v>
      </c>
      <c r="G77" s="71" t="n">
        <f aca="false">MAX(0,G70-G71)</f>
        <v>182252.61</v>
      </c>
      <c r="H77" s="71" t="n">
        <f aca="false">MAX(0,H70-H71)</f>
        <v>153646.96</v>
      </c>
      <c r="I77" s="71" t="n">
        <f aca="false">MAX(0,I70-I71)</f>
        <v>133060.04</v>
      </c>
      <c r="J77" s="71" t="n">
        <f aca="false">MAX(0,J70-J71)</f>
        <v>96629.02</v>
      </c>
      <c r="K77" s="71" t="n">
        <f aca="false">MAX(0,K70-K71)</f>
        <v>66106.76</v>
      </c>
      <c r="L77" s="71" t="n">
        <f aca="false">MAX(0,L70-L71)</f>
        <v>35525.95</v>
      </c>
      <c r="M77" s="71" t="n">
        <f aca="false">MAX(0,M70-M71)</f>
        <v>9653.79053058213</v>
      </c>
      <c r="N77" s="71" t="n">
        <f aca="false">MAX(0,N70-N71)</f>
        <v>0</v>
      </c>
      <c r="O77" s="71" t="n">
        <f aca="false">MAX(0,O70-O71)</f>
        <v>0</v>
      </c>
      <c r="P77" s="71" t="n">
        <f aca="false">MAX(0,P70-P71)</f>
        <v>0</v>
      </c>
      <c r="Q77" s="71" t="n">
        <f aca="false">MAX(0,Q70-Q71)</f>
        <v>0</v>
      </c>
      <c r="R77" s="71" t="n">
        <f aca="false">MAX(0,R70-R71)</f>
        <v>0</v>
      </c>
      <c r="S77" s="71" t="n">
        <f aca="false">MAX(0,S70-S71)</f>
        <v>0</v>
      </c>
      <c r="T77" s="71" t="n">
        <f aca="false">MAX(0,T70-T71)</f>
        <v>0</v>
      </c>
      <c r="U77" s="71" t="n">
        <f aca="false">MAX(0,U70-U71)</f>
        <v>0</v>
      </c>
      <c r="V77" s="71" t="n">
        <f aca="false">MAX(0,V70-V71)</f>
        <v>0</v>
      </c>
      <c r="W77" s="71" t="n">
        <f aca="false">MAX(0,W70-W71)</f>
        <v>0</v>
      </c>
      <c r="X77" s="71" t="n">
        <f aca="false">MAX(0,X70-X71)</f>
        <v>0</v>
      </c>
      <c r="Y77" s="71" t="n">
        <f aca="false">MAX(0,Y70-Y71)</f>
        <v>0</v>
      </c>
      <c r="Z77" s="71" t="n">
        <f aca="false">MAX(0,Z70-Z71)</f>
        <v>0</v>
      </c>
      <c r="AA77" s="71" t="n">
        <f aca="false">MAX(0,AA70-AA71)</f>
        <v>0</v>
      </c>
      <c r="AB77" s="71" t="n">
        <f aca="false">MAX(0,AB70-AB71)</f>
        <v>0</v>
      </c>
    </row>
    <row r="78" customFormat="false" ht="15" hidden="false" customHeight="false" outlineLevel="0" collapsed="false">
      <c r="A78" s="28" t="s">
        <v>931</v>
      </c>
      <c r="B78" s="58" t="s">
        <v>932</v>
      </c>
      <c r="E78" s="71" t="n">
        <f aca="false">IF(E$5="A",ROUND(E71-E69*E70,0),0)</f>
        <v>0</v>
      </c>
      <c r="F78" s="71" t="n">
        <f aca="false">IF(F$5="A",ROUND(F71-F69*F70,0),0)</f>
        <v>0</v>
      </c>
      <c r="G78" s="71" t="n">
        <f aca="false">IF(G$5="A",ROUND(G71-G69*G70,0),0)</f>
        <v>-0</v>
      </c>
      <c r="H78" s="71" t="n">
        <f aca="false">IF(H$5="A",ROUND(H71-H69*H70,0),0)</f>
        <v>-0</v>
      </c>
      <c r="I78" s="71" t="n">
        <f aca="false">IF(I$5="A",ROUND(I71-I69*I70,0),0)</f>
        <v>-0</v>
      </c>
      <c r="J78" s="71" t="n">
        <f aca="false">IF(J$5="A",ROUND(J71-J69*J70,0),0)</f>
        <v>-0</v>
      </c>
      <c r="K78" s="71" t="n">
        <f aca="false">IF(K$5="A",ROUND(K71-K69*K70,0),0)</f>
        <v>-0</v>
      </c>
      <c r="L78" s="71" t="n">
        <f aca="false">IF(L$5="A",ROUND(L71-L69*L70,0),0)</f>
        <v>-0</v>
      </c>
      <c r="M78" s="71" t="n">
        <f aca="false">IF(M$5="A",ROUND(M71-M69*M70,0),0)</f>
        <v>0</v>
      </c>
      <c r="N78" s="71" t="n">
        <f aca="false">IF(N$5="A",ROUND(N71-N69*N70,0),0)</f>
        <v>0</v>
      </c>
      <c r="O78" s="71" t="n">
        <f aca="false">IF(O$5="A",ROUND(O71-O69*O70,0),0)</f>
        <v>0</v>
      </c>
      <c r="P78" s="71" t="n">
        <f aca="false">IF(P$5="A",ROUND(P71-P69*P70,0),0)</f>
        <v>0</v>
      </c>
      <c r="Q78" s="71" t="n">
        <f aca="false">IF(Q$5="A",ROUND(Q71-Q69*Q70,0),0)</f>
        <v>0</v>
      </c>
      <c r="R78" s="71" t="n">
        <f aca="false">IF(R$5="A",ROUND(R71-R69*R70,0),0)</f>
        <v>0</v>
      </c>
      <c r="S78" s="71" t="n">
        <f aca="false">IF(S$5="A",ROUND(S71-S69*S70,0),0)</f>
        <v>0</v>
      </c>
      <c r="T78" s="71" t="n">
        <f aca="false">IF(T$5="A",ROUND(T71-T69*T70,0),0)</f>
        <v>0</v>
      </c>
      <c r="U78" s="71" t="n">
        <f aca="false">IF(U$5="A",ROUND(U71-U69*U70,0),0)</f>
        <v>0</v>
      </c>
      <c r="V78" s="71" t="n">
        <f aca="false">IF(V$5="A",ROUND(V71-V69*V70,0),0)</f>
        <v>0</v>
      </c>
      <c r="W78" s="71" t="n">
        <f aca="false">IF(W$5="A",ROUND(W71-W69*W70,0),0)</f>
        <v>0</v>
      </c>
      <c r="X78" s="71" t="n">
        <f aca="false">IF(X$5="A",ROUND(X71-X69*X70,0),0)</f>
        <v>0</v>
      </c>
      <c r="Y78" s="71" t="n">
        <f aca="false">IF(Y$5="A",ROUND(Y71-Y69*Y70,0),0)</f>
        <v>0</v>
      </c>
      <c r="Z78" s="71" t="n">
        <f aca="false">IF(Z$5="A",ROUND(Z71-Z69*Z70,0),0)</f>
        <v>0</v>
      </c>
      <c r="AA78" s="71" t="n">
        <f aca="false">IF(AA$5="A",ROUND(AA71-AA69*AA70,0),0)</f>
        <v>0</v>
      </c>
      <c r="AB78" s="71" t="n">
        <f aca="false">IF(AB$5="A",ROUND(AB71-AB69*AB70,0),0)</f>
        <v>0</v>
      </c>
    </row>
    <row r="80" customFormat="false" ht="15" hidden="false" customHeight="false" outlineLevel="0" collapsed="false">
      <c r="A80" s="22" t="s">
        <v>938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row>
    <row r="81" customFormat="false" ht="15" hidden="false" customHeight="false" outlineLevel="0" collapsed="false">
      <c r="A81" s="28" t="s">
        <v>905</v>
      </c>
      <c r="B81" s="58" t="s">
        <v>906</v>
      </c>
      <c r="E81" s="112" t="n">
        <f aca="false">MIN(1,MAX(0,(Assumptions!E$99-Project_Register!$T$11+1)/(Project_Register!$U$11-Project_Register!$T$11+1)))</f>
        <v>0</v>
      </c>
      <c r="F81" s="112" t="n">
        <f aca="false">MIN(1,MAX(0,(Assumptions!F$99-Project_Register!$T$11+1)/(Project_Register!$U$11-Project_Register!$T$11+1)))</f>
        <v>0</v>
      </c>
      <c r="G81" s="112" t="n">
        <f aca="false">MIN(1,MAX(0,(Assumptions!G$99-Project_Register!$T$11+1)/(Project_Register!$U$11-Project_Register!$T$11+1)))</f>
        <v>0.142857142857143</v>
      </c>
      <c r="H81" s="112" t="n">
        <f aca="false">MIN(1,MAX(0,(Assumptions!H$99-Project_Register!$T$11+1)/(Project_Register!$U$11-Project_Register!$T$11+1)))</f>
        <v>0.285714285714286</v>
      </c>
      <c r="I81" s="112" t="n">
        <f aca="false">MIN(1,MAX(0,(Assumptions!I$99-Project_Register!$T$11+1)/(Project_Register!$U$11-Project_Register!$T$11+1)))</f>
        <v>0.428571428571429</v>
      </c>
      <c r="J81" s="112" t="n">
        <f aca="false">MIN(1,MAX(0,(Assumptions!J$99-Project_Register!$T$11+1)/(Project_Register!$U$11-Project_Register!$T$11+1)))</f>
        <v>0.571428571428571</v>
      </c>
      <c r="K81" s="112" t="n">
        <f aca="false">MIN(1,MAX(0,(Assumptions!K$99-Project_Register!$T$11+1)/(Project_Register!$U$11-Project_Register!$T$11+1)))</f>
        <v>0.714285714285714</v>
      </c>
      <c r="L81" s="112" t="n">
        <f aca="false">MIN(1,MAX(0,(Assumptions!L$99-Project_Register!$T$11+1)/(Project_Register!$U$11-Project_Register!$T$11+1)))</f>
        <v>0.857142857142857</v>
      </c>
      <c r="M81" s="112" t="n">
        <f aca="false">MIN(1,MAX(0,(Assumptions!M$99-Project_Register!$T$11+1)/(Project_Register!$U$11-Project_Register!$T$11+1)))</f>
        <v>1</v>
      </c>
      <c r="N81" s="112" t="n">
        <f aca="false">MIN(1,MAX(0,(Assumptions!N$99-Project_Register!$T$11+1)/(Project_Register!$U$11-Project_Register!$T$11+1)))</f>
        <v>1</v>
      </c>
      <c r="O81" s="112" t="n">
        <f aca="false">MIN(1,MAX(0,(Assumptions!O$99-Project_Register!$T$11+1)/(Project_Register!$U$11-Project_Register!$T$11+1)))</f>
        <v>1</v>
      </c>
      <c r="P81" s="112" t="n">
        <f aca="false">MIN(1,MAX(0,(Assumptions!P$99-Project_Register!$T$11+1)/(Project_Register!$U$11-Project_Register!$T$11+1)))</f>
        <v>1</v>
      </c>
      <c r="Q81" s="112" t="n">
        <f aca="false">MIN(1,MAX(0,(Assumptions!Q$99-Project_Register!$T$11+1)/(Project_Register!$U$11-Project_Register!$T$11+1)))</f>
        <v>1</v>
      </c>
      <c r="R81" s="112" t="n">
        <f aca="false">MIN(1,MAX(0,(Assumptions!R$99-Project_Register!$T$11+1)/(Project_Register!$U$11-Project_Register!$T$11+1)))</f>
        <v>1</v>
      </c>
      <c r="S81" s="112" t="n">
        <f aca="false">MIN(1,MAX(0,(Assumptions!S$99-Project_Register!$T$11+1)/(Project_Register!$U$11-Project_Register!$T$11+1)))</f>
        <v>1</v>
      </c>
      <c r="T81" s="112" t="n">
        <f aca="false">MIN(1,MAX(0,(Assumptions!T$99-Project_Register!$T$11+1)/(Project_Register!$U$11-Project_Register!$T$11+1)))</f>
        <v>1</v>
      </c>
      <c r="U81" s="112" t="n">
        <f aca="false">MIN(1,MAX(0,(Assumptions!U$99-Project_Register!$T$11+1)/(Project_Register!$U$11-Project_Register!$T$11+1)))</f>
        <v>1</v>
      </c>
      <c r="V81" s="112" t="n">
        <f aca="false">MIN(1,MAX(0,(Assumptions!V$99-Project_Register!$T$11+1)/(Project_Register!$U$11-Project_Register!$T$11+1)))</f>
        <v>1</v>
      </c>
      <c r="W81" s="112" t="n">
        <f aca="false">MIN(1,MAX(0,(Assumptions!W$99-Project_Register!$T$11+1)/(Project_Register!$U$11-Project_Register!$T$11+1)))</f>
        <v>1</v>
      </c>
      <c r="X81" s="112" t="n">
        <f aca="false">MIN(1,MAX(0,(Assumptions!X$99-Project_Register!$T$11+1)/(Project_Register!$U$11-Project_Register!$T$11+1)))</f>
        <v>1</v>
      </c>
      <c r="Y81" s="112" t="n">
        <f aca="false">MIN(1,MAX(0,(Assumptions!Y$99-Project_Register!$T$11+1)/(Project_Register!$U$11-Project_Register!$T$11+1)))</f>
        <v>1</v>
      </c>
      <c r="Z81" s="112" t="n">
        <f aca="false">MIN(1,MAX(0,(Assumptions!Z$99-Project_Register!$T$11+1)/(Project_Register!$U$11-Project_Register!$T$11+1)))</f>
        <v>1</v>
      </c>
      <c r="AA81" s="112" t="n">
        <f aca="false">MIN(1,MAX(0,(Assumptions!AA$99-Project_Register!$T$11+1)/(Project_Register!$U$11-Project_Register!$T$11+1)))</f>
        <v>1</v>
      </c>
      <c r="AB81" s="112" t="n">
        <f aca="false">MIN(1,MAX(0,(Assumptions!AB$99-Project_Register!$T$11+1)/(Project_Register!$U$11-Project_Register!$T$11+1)))</f>
        <v>1</v>
      </c>
    </row>
    <row r="82" customFormat="false" ht="15" hidden="false" customHeight="false" outlineLevel="0" collapsed="false">
      <c r="A82" s="28" t="s">
        <v>907</v>
      </c>
      <c r="B82" s="58" t="s">
        <v>908</v>
      </c>
      <c r="E82" s="113" t="n">
        <f aca="false">3*E81^2-2*E81^3</f>
        <v>0</v>
      </c>
      <c r="F82" s="113" t="n">
        <f aca="false">3*F81^2-2*F81^3</f>
        <v>0</v>
      </c>
      <c r="G82" s="113" t="n">
        <f aca="false">3*G81^2-2*G81^3</f>
        <v>0.0553935860058309</v>
      </c>
      <c r="H82" s="113" t="n">
        <f aca="false">3*H81^2-2*H81^3</f>
        <v>0.198250728862974</v>
      </c>
      <c r="I82" s="113" t="n">
        <f aca="false">3*I81^2-2*I81^3</f>
        <v>0.393586005830904</v>
      </c>
      <c r="J82" s="113" t="n">
        <f aca="false">3*J81^2-2*J81^3</f>
        <v>0.606413994169096</v>
      </c>
      <c r="K82" s="113" t="n">
        <f aca="false">3*K81^2-2*K81^3</f>
        <v>0.801749271137026</v>
      </c>
      <c r="L82" s="113" t="n">
        <f aca="false">3*L81^2-2*L81^3</f>
        <v>0.944606413994169</v>
      </c>
      <c r="M82" s="113" t="n">
        <f aca="false">3*M81^2-2*M81^3</f>
        <v>1</v>
      </c>
      <c r="N82" s="113" t="n">
        <f aca="false">3*N81^2-2*N81^3</f>
        <v>1</v>
      </c>
      <c r="O82" s="113" t="n">
        <f aca="false">3*O81^2-2*O81^3</f>
        <v>1</v>
      </c>
      <c r="P82" s="113" t="n">
        <f aca="false">3*P81^2-2*P81^3</f>
        <v>1</v>
      </c>
      <c r="Q82" s="113" t="n">
        <f aca="false">3*Q81^2-2*Q81^3</f>
        <v>1</v>
      </c>
      <c r="R82" s="113" t="n">
        <f aca="false">3*R81^2-2*R81^3</f>
        <v>1</v>
      </c>
      <c r="S82" s="113" t="n">
        <f aca="false">3*S81^2-2*S81^3</f>
        <v>1</v>
      </c>
      <c r="T82" s="113" t="n">
        <f aca="false">3*T81^2-2*T81^3</f>
        <v>1</v>
      </c>
      <c r="U82" s="113" t="n">
        <f aca="false">3*U81^2-2*U81^3</f>
        <v>1</v>
      </c>
      <c r="V82" s="113" t="n">
        <f aca="false">3*V81^2-2*V81^3</f>
        <v>1</v>
      </c>
      <c r="W82" s="113" t="n">
        <f aca="false">3*W81^2-2*W81^3</f>
        <v>1</v>
      </c>
      <c r="X82" s="113" t="n">
        <f aca="false">3*X81^2-2*X81^3</f>
        <v>1</v>
      </c>
      <c r="Y82" s="113" t="n">
        <f aca="false">3*Y81^2-2*Y81^3</f>
        <v>1</v>
      </c>
      <c r="Z82" s="113" t="n">
        <f aca="false">3*Z81^2-2*Z81^3</f>
        <v>1</v>
      </c>
      <c r="AA82" s="113" t="n">
        <f aca="false">3*AA81^2-2*AA81^3</f>
        <v>1</v>
      </c>
      <c r="AB82" s="113" t="n">
        <f aca="false">3*AB81^2-2*AB81^3</f>
        <v>1</v>
      </c>
    </row>
    <row r="83" customFormat="false" ht="15" hidden="false" customHeight="false" outlineLevel="0" collapsed="false">
      <c r="A83" s="28" t="s">
        <v>909</v>
      </c>
      <c r="B83" s="58"/>
      <c r="E83" s="112" t="n">
        <f aca="false">3*MIN(1,MAX(0,(Assumptions!E$99-Project_Register!$T$11)/(Project_Register!$U$11-Project_Register!$T$11+1)))^2-2*MIN(1,MAX(0,(Assumptions!E$99-Project_Register!$T$11)/(Project_Register!$U$11-Project_Register!$T$11+1)))^3</f>
        <v>0</v>
      </c>
      <c r="F83" s="112" t="n">
        <f aca="false">3*MIN(1,MAX(0,(Assumptions!F$99-Project_Register!$T$11)/(Project_Register!$U$11-Project_Register!$T$11+1)))^2-2*MIN(1,MAX(0,(Assumptions!F$99-Project_Register!$T$11)/(Project_Register!$U$11-Project_Register!$T$11+1)))^3</f>
        <v>0</v>
      </c>
      <c r="G83" s="112" t="n">
        <f aca="false">3*MIN(1,MAX(0,(Assumptions!G$99-Project_Register!$T$11)/(Project_Register!$U$11-Project_Register!$T$11+1)))^2-2*MIN(1,MAX(0,(Assumptions!G$99-Project_Register!$T$11)/(Project_Register!$U$11-Project_Register!$T$11+1)))^3</f>
        <v>0</v>
      </c>
      <c r="H83" s="112" t="n">
        <f aca="false">3*MIN(1,MAX(0,(Assumptions!H$99-Project_Register!$T$11)/(Project_Register!$U$11-Project_Register!$T$11+1)))^2-2*MIN(1,MAX(0,(Assumptions!H$99-Project_Register!$T$11)/(Project_Register!$U$11-Project_Register!$T$11+1)))^3</f>
        <v>0.0553935860058309</v>
      </c>
      <c r="I83" s="112" t="n">
        <f aca="false">3*MIN(1,MAX(0,(Assumptions!I$99-Project_Register!$T$11)/(Project_Register!$U$11-Project_Register!$T$11+1)))^2-2*MIN(1,MAX(0,(Assumptions!I$99-Project_Register!$T$11)/(Project_Register!$U$11-Project_Register!$T$11+1)))^3</f>
        <v>0.198250728862974</v>
      </c>
      <c r="J83" s="112" t="n">
        <f aca="false">3*MIN(1,MAX(0,(Assumptions!J$99-Project_Register!$T$11)/(Project_Register!$U$11-Project_Register!$T$11+1)))^2-2*MIN(1,MAX(0,(Assumptions!J$99-Project_Register!$T$11)/(Project_Register!$U$11-Project_Register!$T$11+1)))^3</f>
        <v>0.393586005830904</v>
      </c>
      <c r="K83" s="112" t="n">
        <f aca="false">3*MIN(1,MAX(0,(Assumptions!K$99-Project_Register!$T$11)/(Project_Register!$U$11-Project_Register!$T$11+1)))^2-2*MIN(1,MAX(0,(Assumptions!K$99-Project_Register!$T$11)/(Project_Register!$U$11-Project_Register!$T$11+1)))^3</f>
        <v>0.606413994169096</v>
      </c>
      <c r="L83" s="112" t="n">
        <f aca="false">3*MIN(1,MAX(0,(Assumptions!L$99-Project_Register!$T$11)/(Project_Register!$U$11-Project_Register!$T$11+1)))^2-2*MIN(1,MAX(0,(Assumptions!L$99-Project_Register!$T$11)/(Project_Register!$U$11-Project_Register!$T$11+1)))^3</f>
        <v>0.801749271137026</v>
      </c>
      <c r="M83" s="112" t="n">
        <f aca="false">3*MIN(1,MAX(0,(Assumptions!M$99-Project_Register!$T$11)/(Project_Register!$U$11-Project_Register!$T$11+1)))^2-2*MIN(1,MAX(0,(Assumptions!M$99-Project_Register!$T$11)/(Project_Register!$U$11-Project_Register!$T$11+1)))^3</f>
        <v>0.944606413994169</v>
      </c>
      <c r="N83" s="112" t="n">
        <f aca="false">3*MIN(1,MAX(0,(Assumptions!N$99-Project_Register!$T$11)/(Project_Register!$U$11-Project_Register!$T$11+1)))^2-2*MIN(1,MAX(0,(Assumptions!N$99-Project_Register!$T$11)/(Project_Register!$U$11-Project_Register!$T$11+1)))^3</f>
        <v>1</v>
      </c>
      <c r="O83" s="112" t="n">
        <f aca="false">3*MIN(1,MAX(0,(Assumptions!O$99-Project_Register!$T$11)/(Project_Register!$U$11-Project_Register!$T$11+1)))^2-2*MIN(1,MAX(0,(Assumptions!O$99-Project_Register!$T$11)/(Project_Register!$U$11-Project_Register!$T$11+1)))^3</f>
        <v>1</v>
      </c>
      <c r="P83" s="112" t="n">
        <f aca="false">3*MIN(1,MAX(0,(Assumptions!P$99-Project_Register!$T$11)/(Project_Register!$U$11-Project_Register!$T$11+1)))^2-2*MIN(1,MAX(0,(Assumptions!P$99-Project_Register!$T$11)/(Project_Register!$U$11-Project_Register!$T$11+1)))^3</f>
        <v>1</v>
      </c>
      <c r="Q83" s="112" t="n">
        <f aca="false">3*MIN(1,MAX(0,(Assumptions!Q$99-Project_Register!$T$11)/(Project_Register!$U$11-Project_Register!$T$11+1)))^2-2*MIN(1,MAX(0,(Assumptions!Q$99-Project_Register!$T$11)/(Project_Register!$U$11-Project_Register!$T$11+1)))^3</f>
        <v>1</v>
      </c>
      <c r="R83" s="112" t="n">
        <f aca="false">3*MIN(1,MAX(0,(Assumptions!R$99-Project_Register!$T$11)/(Project_Register!$U$11-Project_Register!$T$11+1)))^2-2*MIN(1,MAX(0,(Assumptions!R$99-Project_Register!$T$11)/(Project_Register!$U$11-Project_Register!$T$11+1)))^3</f>
        <v>1</v>
      </c>
      <c r="S83" s="112" t="n">
        <f aca="false">3*MIN(1,MAX(0,(Assumptions!S$99-Project_Register!$T$11)/(Project_Register!$U$11-Project_Register!$T$11+1)))^2-2*MIN(1,MAX(0,(Assumptions!S$99-Project_Register!$T$11)/(Project_Register!$U$11-Project_Register!$T$11+1)))^3</f>
        <v>1</v>
      </c>
      <c r="T83" s="112" t="n">
        <f aca="false">3*MIN(1,MAX(0,(Assumptions!T$99-Project_Register!$T$11)/(Project_Register!$U$11-Project_Register!$T$11+1)))^2-2*MIN(1,MAX(0,(Assumptions!T$99-Project_Register!$T$11)/(Project_Register!$U$11-Project_Register!$T$11+1)))^3</f>
        <v>1</v>
      </c>
      <c r="U83" s="112" t="n">
        <f aca="false">3*MIN(1,MAX(0,(Assumptions!U$99-Project_Register!$T$11)/(Project_Register!$U$11-Project_Register!$T$11+1)))^2-2*MIN(1,MAX(0,(Assumptions!U$99-Project_Register!$T$11)/(Project_Register!$U$11-Project_Register!$T$11+1)))^3</f>
        <v>1</v>
      </c>
      <c r="V83" s="112" t="n">
        <f aca="false">3*MIN(1,MAX(0,(Assumptions!V$99-Project_Register!$T$11)/(Project_Register!$U$11-Project_Register!$T$11+1)))^2-2*MIN(1,MAX(0,(Assumptions!V$99-Project_Register!$T$11)/(Project_Register!$U$11-Project_Register!$T$11+1)))^3</f>
        <v>1</v>
      </c>
      <c r="W83" s="112" t="n">
        <f aca="false">3*MIN(1,MAX(0,(Assumptions!W$99-Project_Register!$T$11)/(Project_Register!$U$11-Project_Register!$T$11+1)))^2-2*MIN(1,MAX(0,(Assumptions!W$99-Project_Register!$T$11)/(Project_Register!$U$11-Project_Register!$T$11+1)))^3</f>
        <v>1</v>
      </c>
      <c r="X83" s="112" t="n">
        <f aca="false">3*MIN(1,MAX(0,(Assumptions!X$99-Project_Register!$T$11)/(Project_Register!$U$11-Project_Register!$T$11+1)))^2-2*MIN(1,MAX(0,(Assumptions!X$99-Project_Register!$T$11)/(Project_Register!$U$11-Project_Register!$T$11+1)))^3</f>
        <v>1</v>
      </c>
      <c r="Y83" s="112" t="n">
        <f aca="false">3*MIN(1,MAX(0,(Assumptions!Y$99-Project_Register!$T$11)/(Project_Register!$U$11-Project_Register!$T$11+1)))^2-2*MIN(1,MAX(0,(Assumptions!Y$99-Project_Register!$T$11)/(Project_Register!$U$11-Project_Register!$T$11+1)))^3</f>
        <v>1</v>
      </c>
      <c r="Z83" s="112" t="n">
        <f aca="false">3*MIN(1,MAX(0,(Assumptions!Z$99-Project_Register!$T$11)/(Project_Register!$U$11-Project_Register!$T$11+1)))^2-2*MIN(1,MAX(0,(Assumptions!Z$99-Project_Register!$T$11)/(Project_Register!$U$11-Project_Register!$T$11+1)))^3</f>
        <v>1</v>
      </c>
      <c r="AA83" s="112" t="n">
        <f aca="false">3*MIN(1,MAX(0,(Assumptions!AA$99-Project_Register!$T$11)/(Project_Register!$U$11-Project_Register!$T$11+1)))^2-2*MIN(1,MAX(0,(Assumptions!AA$99-Project_Register!$T$11)/(Project_Register!$U$11-Project_Register!$T$11+1)))^3</f>
        <v>1</v>
      </c>
      <c r="AB83" s="112" t="n">
        <f aca="false">3*MIN(1,MAX(0,(Assumptions!AB$99-Project_Register!$T$11)/(Project_Register!$U$11-Project_Register!$T$11+1)))^2-2*MIN(1,MAX(0,(Assumptions!AB$99-Project_Register!$T$11)/(Project_Register!$U$11-Project_Register!$T$11+1)))^3</f>
        <v>1</v>
      </c>
    </row>
    <row r="84" customFormat="false" ht="15" hidden="false" customHeight="false" outlineLevel="0" collapsed="false">
      <c r="A84" s="28" t="s">
        <v>802</v>
      </c>
      <c r="B84" s="58" t="s">
        <v>910</v>
      </c>
      <c r="C84" s="66" t="n">
        <f aca="false">SUM(E84:P84)</f>
        <v>1500</v>
      </c>
      <c r="D84" s="66" t="n">
        <f aca="false">SUM(Q84:AB84)</f>
        <v>0</v>
      </c>
      <c r="E84" s="67" t="n">
        <f aca="false">IF(E$5="A",Inputs_Actuals!E68,IF((Project_Register!$AA$11-Project_Register!$X$11)&lt;=0,0,IF(1-Project_Register!$AC$11&lt;=0.000001,IF(Assumptions!E$99=Assumptions!$C$10+1,(Project_Register!$AA$11-Project_Register!$X$11),0),(Project_Register!$AA$11-Project_Register!$X$11)*(E82-E83)/(1-Project_Register!$AC$11))))</f>
        <v>0</v>
      </c>
      <c r="F84" s="67" t="n">
        <f aca="false">IF(F$5="A",Inputs_Actuals!F68,IF((Project_Register!$AA$11-Project_Register!$X$11)&lt;=0,0,IF(1-Project_Register!$AC$11&lt;=0.000001,IF(Assumptions!F$99=Assumptions!$C$10+1,(Project_Register!$AA$11-Project_Register!$X$11),0),(Project_Register!$AA$11-Project_Register!$X$11)*(F82-F83)/(1-Project_Register!$AC$11))))</f>
        <v>0</v>
      </c>
      <c r="G84" s="67" t="n">
        <f aca="false">IF(G$5="A",Inputs_Actuals!G68,IF((Project_Register!$AA$11-Project_Register!$X$11)&lt;=0,0,IF(1-Project_Register!$AC$11&lt;=0.000001,IF(Assumptions!G$99=Assumptions!$C$10+1,(Project_Register!$AA$11-Project_Register!$X$11),0),(Project_Register!$AA$11-Project_Register!$X$11)*(G82-G83)/(1-Project_Register!$AC$11))))</f>
        <v>78.3</v>
      </c>
      <c r="H84" s="67" t="n">
        <f aca="false">IF(H$5="A",Inputs_Actuals!H68,IF((Project_Register!$AA$11-Project_Register!$X$11)&lt;=0,0,IF(1-Project_Register!$AC$11&lt;=0.000001,IF(Assumptions!H$99=Assumptions!$C$10+1,(Project_Register!$AA$11-Project_Register!$X$11),0),(Project_Register!$AA$11-Project_Register!$X$11)*(H82-H83)/(1-Project_Register!$AC$11))))</f>
        <v>213.1</v>
      </c>
      <c r="I84" s="67" t="n">
        <f aca="false">IF(I$5="A",Inputs_Actuals!I68,IF((Project_Register!$AA$11-Project_Register!$X$11)&lt;=0,0,IF(1-Project_Register!$AC$11&lt;=0.000001,IF(Assumptions!I$99=Assumptions!$C$10+1,(Project_Register!$AA$11-Project_Register!$X$11),0),(Project_Register!$AA$11-Project_Register!$X$11)*(I82-I83)/(1-Project_Register!$AC$11))))</f>
        <v>292.9</v>
      </c>
      <c r="J84" s="67" t="n">
        <f aca="false">IF(J$5="A",Inputs_Actuals!J68,IF((Project_Register!$AA$11-Project_Register!$X$11)&lt;=0,0,IF(1-Project_Register!$AC$11&lt;=0.000001,IF(Assumptions!J$99=Assumptions!$C$10+1,(Project_Register!$AA$11-Project_Register!$X$11),0),(Project_Register!$AA$11-Project_Register!$X$11)*(J82-J83)/(1-Project_Register!$AC$11))))</f>
        <v>358.3</v>
      </c>
      <c r="K84" s="67" t="n">
        <f aca="false">IF(K$5="A",Inputs_Actuals!K68,IF((Project_Register!$AA$11-Project_Register!$X$11)&lt;=0,0,IF(1-Project_Register!$AC$11&lt;=0.000001,IF(Assumptions!K$99=Assumptions!$C$10+1,(Project_Register!$AA$11-Project_Register!$X$11),0),(Project_Register!$AA$11-Project_Register!$X$11)*(K82-K83)/(1-Project_Register!$AC$11))))</f>
        <v>302.7</v>
      </c>
      <c r="L84" s="67" t="n">
        <f aca="false">IF(L$5="A",Inputs_Actuals!L68,IF((Project_Register!$AA$11-Project_Register!$X$11)&lt;=0,0,IF(1-Project_Register!$AC$11&lt;=0.000001,IF(Assumptions!L$99=Assumptions!$C$10+1,(Project_Register!$AA$11-Project_Register!$X$11),0),(Project_Register!$AA$11-Project_Register!$X$11)*(L82-L83)/(1-Project_Register!$AC$11))))</f>
        <v>164.3</v>
      </c>
      <c r="M84" s="67" t="n">
        <f aca="false">IF(M$5="A",Inputs_Actuals!M68,IF((Project_Register!$AA$11-Project_Register!$X$11)&lt;=0,0,IF(1-Project_Register!$AC$11&lt;=0.000001,IF(Assumptions!M$99=Assumptions!$C$10+1,(Project_Register!$AA$11-Project_Register!$X$11),0),(Project_Register!$AA$11-Project_Register!$X$11)*(M82-M83)/(1-Project_Register!$AC$11))))</f>
        <v>90.4000000000001</v>
      </c>
      <c r="N84" s="67" t="n">
        <f aca="false">IF(N$5="A",Inputs_Actuals!N68,IF((Project_Register!$AA$11-Project_Register!$X$11)&lt;=0,0,IF(1-Project_Register!$AC$11&lt;=0.000001,IF(Assumptions!N$99=Assumptions!$C$10+1,(Project_Register!$AA$11-Project_Register!$X$11),0),(Project_Register!$AA$11-Project_Register!$X$11)*(N82-N83)/(1-Project_Register!$AC$11))))</f>
        <v>0</v>
      </c>
      <c r="O84" s="67" t="n">
        <f aca="false">IF(O$5="A",Inputs_Actuals!O68,IF((Project_Register!$AA$11-Project_Register!$X$11)&lt;=0,0,IF(1-Project_Register!$AC$11&lt;=0.000001,IF(Assumptions!O$99=Assumptions!$C$10+1,(Project_Register!$AA$11-Project_Register!$X$11),0),(Project_Register!$AA$11-Project_Register!$X$11)*(O82-O83)/(1-Project_Register!$AC$11))))</f>
        <v>0</v>
      </c>
      <c r="P84" s="67" t="n">
        <f aca="false">IF(P$5="A",Inputs_Actuals!P68,IF((Project_Register!$AA$11-Project_Register!$X$11)&lt;=0,0,IF(1-Project_Register!$AC$11&lt;=0.000001,IF(Assumptions!P$99=Assumptions!$C$10+1,(Project_Register!$AA$11-Project_Register!$X$11),0),(Project_Register!$AA$11-Project_Register!$X$11)*(P82-P83)/(1-Project_Register!$AC$11))))</f>
        <v>0</v>
      </c>
      <c r="Q84" s="67" t="n">
        <f aca="false">IF(Q$5="A",Inputs_Actuals!Q68,IF((Project_Register!$AA$11-Project_Register!$X$11)&lt;=0,0,IF(1-Project_Register!$AC$11&lt;=0.000001,IF(Assumptions!Q$99=Assumptions!$C$10+1,(Project_Register!$AA$11-Project_Register!$X$11),0),(Project_Register!$AA$11-Project_Register!$X$11)*(Q82-Q83)/(1-Project_Register!$AC$11))))</f>
        <v>0</v>
      </c>
      <c r="R84" s="67" t="n">
        <f aca="false">IF(R$5="A",Inputs_Actuals!R68,IF((Project_Register!$AA$11-Project_Register!$X$11)&lt;=0,0,IF(1-Project_Register!$AC$11&lt;=0.000001,IF(Assumptions!R$99=Assumptions!$C$10+1,(Project_Register!$AA$11-Project_Register!$X$11),0),(Project_Register!$AA$11-Project_Register!$X$11)*(R82-R83)/(1-Project_Register!$AC$11))))</f>
        <v>0</v>
      </c>
      <c r="S84" s="67" t="n">
        <f aca="false">IF(S$5="A",Inputs_Actuals!S68,IF((Project_Register!$AA$11-Project_Register!$X$11)&lt;=0,0,IF(1-Project_Register!$AC$11&lt;=0.000001,IF(Assumptions!S$99=Assumptions!$C$10+1,(Project_Register!$AA$11-Project_Register!$X$11),0),(Project_Register!$AA$11-Project_Register!$X$11)*(S82-S83)/(1-Project_Register!$AC$11))))</f>
        <v>0</v>
      </c>
      <c r="T84" s="67" t="n">
        <f aca="false">IF(T$5="A",Inputs_Actuals!T68,IF((Project_Register!$AA$11-Project_Register!$X$11)&lt;=0,0,IF(1-Project_Register!$AC$11&lt;=0.000001,IF(Assumptions!T$99=Assumptions!$C$10+1,(Project_Register!$AA$11-Project_Register!$X$11),0),(Project_Register!$AA$11-Project_Register!$X$11)*(T82-T83)/(1-Project_Register!$AC$11))))</f>
        <v>0</v>
      </c>
      <c r="U84" s="67" t="n">
        <f aca="false">IF(U$5="A",Inputs_Actuals!U68,IF((Project_Register!$AA$11-Project_Register!$X$11)&lt;=0,0,IF(1-Project_Register!$AC$11&lt;=0.000001,IF(Assumptions!U$99=Assumptions!$C$10+1,(Project_Register!$AA$11-Project_Register!$X$11),0),(Project_Register!$AA$11-Project_Register!$X$11)*(U82-U83)/(1-Project_Register!$AC$11))))</f>
        <v>0</v>
      </c>
      <c r="V84" s="67" t="n">
        <f aca="false">IF(V$5="A",Inputs_Actuals!V68,IF((Project_Register!$AA$11-Project_Register!$X$11)&lt;=0,0,IF(1-Project_Register!$AC$11&lt;=0.000001,IF(Assumptions!V$99=Assumptions!$C$10+1,(Project_Register!$AA$11-Project_Register!$X$11),0),(Project_Register!$AA$11-Project_Register!$X$11)*(V82-V83)/(1-Project_Register!$AC$11))))</f>
        <v>0</v>
      </c>
      <c r="W84" s="67" t="n">
        <f aca="false">IF(W$5="A",Inputs_Actuals!W68,IF((Project_Register!$AA$11-Project_Register!$X$11)&lt;=0,0,IF(1-Project_Register!$AC$11&lt;=0.000001,IF(Assumptions!W$99=Assumptions!$C$10+1,(Project_Register!$AA$11-Project_Register!$X$11),0),(Project_Register!$AA$11-Project_Register!$X$11)*(W82-W83)/(1-Project_Register!$AC$11))))</f>
        <v>0</v>
      </c>
      <c r="X84" s="67" t="n">
        <f aca="false">IF(X$5="A",Inputs_Actuals!X68,IF((Project_Register!$AA$11-Project_Register!$X$11)&lt;=0,0,IF(1-Project_Register!$AC$11&lt;=0.000001,IF(Assumptions!X$99=Assumptions!$C$10+1,(Project_Register!$AA$11-Project_Register!$X$11),0),(Project_Register!$AA$11-Project_Register!$X$11)*(X82-X83)/(1-Project_Register!$AC$11))))</f>
        <v>0</v>
      </c>
      <c r="Y84" s="67" t="n">
        <f aca="false">IF(Y$5="A",Inputs_Actuals!Y68,IF((Project_Register!$AA$11-Project_Register!$X$11)&lt;=0,0,IF(1-Project_Register!$AC$11&lt;=0.000001,IF(Assumptions!Y$99=Assumptions!$C$10+1,(Project_Register!$AA$11-Project_Register!$X$11),0),(Project_Register!$AA$11-Project_Register!$X$11)*(Y82-Y83)/(1-Project_Register!$AC$11))))</f>
        <v>0</v>
      </c>
      <c r="Z84" s="67" t="n">
        <f aca="false">IF(Z$5="A",Inputs_Actuals!Z68,IF((Project_Register!$AA$11-Project_Register!$X$11)&lt;=0,0,IF(1-Project_Register!$AC$11&lt;=0.000001,IF(Assumptions!Z$99=Assumptions!$C$10+1,(Project_Register!$AA$11-Project_Register!$X$11),0),(Project_Register!$AA$11-Project_Register!$X$11)*(Z82-Z83)/(1-Project_Register!$AC$11))))</f>
        <v>0</v>
      </c>
      <c r="AA84" s="67" t="n">
        <f aca="false">IF(AA$5="A",Inputs_Actuals!AA68,IF((Project_Register!$AA$11-Project_Register!$X$11)&lt;=0,0,IF(1-Project_Register!$AC$11&lt;=0.000001,IF(Assumptions!AA$99=Assumptions!$C$10+1,(Project_Register!$AA$11-Project_Register!$X$11),0),(Project_Register!$AA$11-Project_Register!$X$11)*(AA82-AA83)/(1-Project_Register!$AC$11))))</f>
        <v>0</v>
      </c>
      <c r="AB84" s="67" t="n">
        <f aca="false">IF(AB$5="A",Inputs_Actuals!AB68,IF((Project_Register!$AA$11-Project_Register!$X$11)&lt;=0,0,IF(1-Project_Register!$AC$11&lt;=0.000001,IF(Assumptions!AB$99=Assumptions!$C$10+1,(Project_Register!$AA$11-Project_Register!$X$11),0),(Project_Register!$AA$11-Project_Register!$X$11)*(AB82-AB83)/(1-Project_Register!$AC$11))))</f>
        <v>0</v>
      </c>
    </row>
    <row r="85" customFormat="false" ht="15" hidden="false" customHeight="false" outlineLevel="0" collapsed="false">
      <c r="A85" s="28" t="s">
        <v>911</v>
      </c>
      <c r="B85" s="58" t="s">
        <v>912</v>
      </c>
      <c r="C85" s="66" t="n">
        <f aca="false">P85</f>
        <v>1500</v>
      </c>
      <c r="D85" s="66" t="n">
        <f aca="false">AB85</f>
        <v>1500</v>
      </c>
      <c r="E85" s="67" t="n">
        <f aca="false">Project_Register!$P$11+E84</f>
        <v>0</v>
      </c>
      <c r="F85" s="72" t="n">
        <f aca="false">E85+F84</f>
        <v>0</v>
      </c>
      <c r="G85" s="72" t="n">
        <f aca="false">F85+G84</f>
        <v>78.3</v>
      </c>
      <c r="H85" s="72" t="n">
        <f aca="false">G85+H84</f>
        <v>291.4</v>
      </c>
      <c r="I85" s="72" t="n">
        <f aca="false">H85+I84</f>
        <v>584.3</v>
      </c>
      <c r="J85" s="72" t="n">
        <f aca="false">I85+J84</f>
        <v>942.6</v>
      </c>
      <c r="K85" s="72" t="n">
        <f aca="false">J85+K84</f>
        <v>1245.3</v>
      </c>
      <c r="L85" s="72" t="n">
        <f aca="false">K85+L84</f>
        <v>1409.6</v>
      </c>
      <c r="M85" s="72" t="n">
        <f aca="false">L85+M84</f>
        <v>1500</v>
      </c>
      <c r="N85" s="72" t="n">
        <f aca="false">M85+N84</f>
        <v>1500</v>
      </c>
      <c r="O85" s="72" t="n">
        <f aca="false">N85+O84</f>
        <v>1500</v>
      </c>
      <c r="P85" s="72" t="n">
        <f aca="false">O85+P84</f>
        <v>1500</v>
      </c>
      <c r="Q85" s="72" t="n">
        <f aca="false">P85+Q84</f>
        <v>1500</v>
      </c>
      <c r="R85" s="72" t="n">
        <f aca="false">Q85+R84</f>
        <v>1500</v>
      </c>
      <c r="S85" s="72" t="n">
        <f aca="false">R85+S84</f>
        <v>1500</v>
      </c>
      <c r="T85" s="72" t="n">
        <f aca="false">S85+T84</f>
        <v>1500</v>
      </c>
      <c r="U85" s="72" t="n">
        <f aca="false">T85+U84</f>
        <v>1500</v>
      </c>
      <c r="V85" s="72" t="n">
        <f aca="false">U85+V84</f>
        <v>1500</v>
      </c>
      <c r="W85" s="72" t="n">
        <f aca="false">V85+W84</f>
        <v>1500</v>
      </c>
      <c r="X85" s="72" t="n">
        <f aca="false">W85+X84</f>
        <v>1500</v>
      </c>
      <c r="Y85" s="72" t="n">
        <f aca="false">X85+Y84</f>
        <v>1500</v>
      </c>
      <c r="Z85" s="72" t="n">
        <f aca="false">Y85+Z84</f>
        <v>1500</v>
      </c>
      <c r="AA85" s="72" t="n">
        <f aca="false">Z85+AA84</f>
        <v>1500</v>
      </c>
      <c r="AB85" s="72" t="n">
        <f aca="false">AA85+AB84</f>
        <v>1500</v>
      </c>
    </row>
    <row r="86" customFormat="false" ht="15" hidden="false" customHeight="false" outlineLevel="0" collapsed="false">
      <c r="A86" s="28" t="s">
        <v>913</v>
      </c>
      <c r="B86" s="58" t="s">
        <v>914</v>
      </c>
      <c r="C86" s="66" t="n">
        <f aca="false">P86</f>
        <v>1500</v>
      </c>
      <c r="D86" s="66" t="n">
        <f aca="false">AB86</f>
        <v>1500</v>
      </c>
      <c r="E86" s="67" t="n">
        <f aca="false">IF(E$5="A",IF(E85+N(Inputs_Actuals!E69)&lt;=0,Project_Register!$AA$11,E85+N(Inputs_Actuals!E69)),Project_Register!$AA$11)</f>
        <v>1500</v>
      </c>
      <c r="F86" s="67" t="n">
        <f aca="false">IF(F$5="A",IF(F85+N(Inputs_Actuals!F69)&lt;=0,Project_Register!$AA$11,F85+N(Inputs_Actuals!F69)),Project_Register!$AA$11)</f>
        <v>1500</v>
      </c>
      <c r="G86" s="67" t="n">
        <f aca="false">IF(G$5="A",IF(G85+N(Inputs_Actuals!G69)&lt;=0,Project_Register!$AA$11,G85+N(Inputs_Actuals!G69)),Project_Register!$AA$11)</f>
        <v>1450</v>
      </c>
      <c r="H86" s="67" t="n">
        <f aca="false">IF(H$5="A",IF(H85+N(Inputs_Actuals!H69)&lt;=0,Project_Register!$AA$11,H85+N(Inputs_Actuals!H69)),Project_Register!$AA$11)</f>
        <v>1450</v>
      </c>
      <c r="I86" s="67" t="n">
        <f aca="false">IF(I$5="A",IF(I85+N(Inputs_Actuals!I69)&lt;=0,Project_Register!$AA$11,I85+N(Inputs_Actuals!I69)),Project_Register!$AA$11)</f>
        <v>1450</v>
      </c>
      <c r="J86" s="67" t="n">
        <f aca="false">IF(J$5="A",IF(J85+N(Inputs_Actuals!J69)&lt;=0,Project_Register!$AA$11,J85+N(Inputs_Actuals!J69)),Project_Register!$AA$11)</f>
        <v>1500</v>
      </c>
      <c r="K86" s="67" t="n">
        <f aca="false">IF(K$5="A",IF(K85+N(Inputs_Actuals!K69)&lt;=0,Project_Register!$AA$11,K85+N(Inputs_Actuals!K69)),Project_Register!$AA$11)</f>
        <v>1500</v>
      </c>
      <c r="L86" s="67" t="n">
        <f aca="false">IF(L$5="A",IF(L85+N(Inputs_Actuals!L69)&lt;=0,Project_Register!$AA$11,L85+N(Inputs_Actuals!L69)),Project_Register!$AA$11)</f>
        <v>1500</v>
      </c>
      <c r="M86" s="67" t="n">
        <f aca="false">IF(M$5="A",IF(M85+N(Inputs_Actuals!M69)&lt;=0,Project_Register!$AA$11,M85+N(Inputs_Actuals!M69)),Project_Register!$AA$11)</f>
        <v>1500</v>
      </c>
      <c r="N86" s="67" t="n">
        <f aca="false">IF(N$5="A",IF(N85+N(Inputs_Actuals!N69)&lt;=0,Project_Register!$AA$11,N85+N(Inputs_Actuals!N69)),Project_Register!$AA$11)</f>
        <v>1500</v>
      </c>
      <c r="O86" s="67" t="n">
        <f aca="false">IF(O$5="A",IF(O85+N(Inputs_Actuals!O69)&lt;=0,Project_Register!$AA$11,O85+N(Inputs_Actuals!O69)),Project_Register!$AA$11)</f>
        <v>1500</v>
      </c>
      <c r="P86" s="67" t="n">
        <f aca="false">IF(P$5="A",IF(P85+N(Inputs_Actuals!P69)&lt;=0,Project_Register!$AA$11,P85+N(Inputs_Actuals!P69)),Project_Register!$AA$11)</f>
        <v>1500</v>
      </c>
      <c r="Q86" s="67" t="n">
        <f aca="false">IF(Q$5="A",IF(Q85+N(Inputs_Actuals!Q69)&lt;=0,Project_Register!$AA$11,Q85+N(Inputs_Actuals!Q69)),Project_Register!$AA$11)</f>
        <v>1500</v>
      </c>
      <c r="R86" s="67" t="n">
        <f aca="false">IF(R$5="A",IF(R85+N(Inputs_Actuals!R69)&lt;=0,Project_Register!$AA$11,R85+N(Inputs_Actuals!R69)),Project_Register!$AA$11)</f>
        <v>1500</v>
      </c>
      <c r="S86" s="67" t="n">
        <f aca="false">IF(S$5="A",IF(S85+N(Inputs_Actuals!S69)&lt;=0,Project_Register!$AA$11,S85+N(Inputs_Actuals!S69)),Project_Register!$AA$11)</f>
        <v>1500</v>
      </c>
      <c r="T86" s="67" t="n">
        <f aca="false">IF(T$5="A",IF(T85+N(Inputs_Actuals!T69)&lt;=0,Project_Register!$AA$11,T85+N(Inputs_Actuals!T69)),Project_Register!$AA$11)</f>
        <v>1500</v>
      </c>
      <c r="U86" s="67" t="n">
        <f aca="false">IF(U$5="A",IF(U85+N(Inputs_Actuals!U69)&lt;=0,Project_Register!$AA$11,U85+N(Inputs_Actuals!U69)),Project_Register!$AA$11)</f>
        <v>1500</v>
      </c>
      <c r="V86" s="67" t="n">
        <f aca="false">IF(V$5="A",IF(V85+N(Inputs_Actuals!V69)&lt;=0,Project_Register!$AA$11,V85+N(Inputs_Actuals!V69)),Project_Register!$AA$11)</f>
        <v>1500</v>
      </c>
      <c r="W86" s="67" t="n">
        <f aca="false">IF(W$5="A",IF(W85+N(Inputs_Actuals!W69)&lt;=0,Project_Register!$AA$11,W85+N(Inputs_Actuals!W69)),Project_Register!$AA$11)</f>
        <v>1500</v>
      </c>
      <c r="X86" s="67" t="n">
        <f aca="false">IF(X$5="A",IF(X85+N(Inputs_Actuals!X69)&lt;=0,Project_Register!$AA$11,X85+N(Inputs_Actuals!X69)),Project_Register!$AA$11)</f>
        <v>1500</v>
      </c>
      <c r="Y86" s="67" t="n">
        <f aca="false">IF(Y$5="A",IF(Y85+N(Inputs_Actuals!Y69)&lt;=0,Project_Register!$AA$11,Y85+N(Inputs_Actuals!Y69)),Project_Register!$AA$11)</f>
        <v>1500</v>
      </c>
      <c r="Z86" s="67" t="n">
        <f aca="false">IF(Z$5="A",IF(Z85+N(Inputs_Actuals!Z69)&lt;=0,Project_Register!$AA$11,Z85+N(Inputs_Actuals!Z69)),Project_Register!$AA$11)</f>
        <v>1500</v>
      </c>
      <c r="AA86" s="67" t="n">
        <f aca="false">IF(AA$5="A",IF(AA85+N(Inputs_Actuals!AA69)&lt;=0,Project_Register!$AA$11,AA85+N(Inputs_Actuals!AA69)),Project_Register!$AA$11)</f>
        <v>1500</v>
      </c>
      <c r="AB86" s="67" t="n">
        <f aca="false">IF(AB$5="A",IF(AB85+N(Inputs_Actuals!AB69)&lt;=0,Project_Register!$AA$11,AB85+N(Inputs_Actuals!AB69)),Project_Register!$AA$11)</f>
        <v>1500</v>
      </c>
    </row>
    <row r="87" customFormat="false" ht="15" hidden="false" customHeight="false" outlineLevel="0" collapsed="false">
      <c r="A87" s="28" t="s">
        <v>915</v>
      </c>
      <c r="B87" s="58" t="s">
        <v>916</v>
      </c>
      <c r="C87" s="61" t="n">
        <f aca="false">P87</f>
        <v>1</v>
      </c>
      <c r="D87" s="61" t="n">
        <f aca="false">AB87</f>
        <v>1</v>
      </c>
      <c r="E87" s="62" t="n">
        <f aca="false">IF(E86&lt;=0,0,MIN(1,E85/E86))</f>
        <v>0</v>
      </c>
      <c r="F87" s="62" t="n">
        <f aca="false">IF(F86&lt;=0,0,MIN(1,F85/F86))</f>
        <v>0</v>
      </c>
      <c r="G87" s="62" t="n">
        <f aca="false">IF(G86&lt;=0,0,MIN(1,G85/G86))</f>
        <v>0.054</v>
      </c>
      <c r="H87" s="62" t="n">
        <f aca="false">IF(H86&lt;=0,0,MIN(1,H85/H86))</f>
        <v>0.200965517241379</v>
      </c>
      <c r="I87" s="62" t="n">
        <f aca="false">IF(I86&lt;=0,0,MIN(1,I85/I86))</f>
        <v>0.402965517241379</v>
      </c>
      <c r="J87" s="62" t="n">
        <f aca="false">IF(J86&lt;=0,0,MIN(1,J85/J86))</f>
        <v>0.6284</v>
      </c>
      <c r="K87" s="62" t="n">
        <f aca="false">IF(K86&lt;=0,0,MIN(1,K85/K86))</f>
        <v>0.8302</v>
      </c>
      <c r="L87" s="62" t="n">
        <f aca="false">IF(L86&lt;=0,0,MIN(1,L85/L86))</f>
        <v>0.939733333333333</v>
      </c>
      <c r="M87" s="62" t="n">
        <f aca="false">IF(M86&lt;=0,0,MIN(1,M85/M86))</f>
        <v>1</v>
      </c>
      <c r="N87" s="62" t="n">
        <f aca="false">IF(N86&lt;=0,0,MIN(1,N85/N86))</f>
        <v>1</v>
      </c>
      <c r="O87" s="62" t="n">
        <f aca="false">IF(O86&lt;=0,0,MIN(1,O85/O86))</f>
        <v>1</v>
      </c>
      <c r="P87" s="62" t="n">
        <f aca="false">IF(P86&lt;=0,0,MIN(1,P85/P86))</f>
        <v>1</v>
      </c>
      <c r="Q87" s="62" t="n">
        <f aca="false">IF(Q86&lt;=0,0,MIN(1,Q85/Q86))</f>
        <v>1</v>
      </c>
      <c r="R87" s="62" t="n">
        <f aca="false">IF(R86&lt;=0,0,MIN(1,R85/R86))</f>
        <v>1</v>
      </c>
      <c r="S87" s="62" t="n">
        <f aca="false">IF(S86&lt;=0,0,MIN(1,S85/S86))</f>
        <v>1</v>
      </c>
      <c r="T87" s="62" t="n">
        <f aca="false">IF(T86&lt;=0,0,MIN(1,T85/T86))</f>
        <v>1</v>
      </c>
      <c r="U87" s="62" t="n">
        <f aca="false">IF(U86&lt;=0,0,MIN(1,U85/U86))</f>
        <v>1</v>
      </c>
      <c r="V87" s="62" t="n">
        <f aca="false">IF(V86&lt;=0,0,MIN(1,V85/V86))</f>
        <v>1</v>
      </c>
      <c r="W87" s="62" t="n">
        <f aca="false">IF(W86&lt;=0,0,MIN(1,W85/W86))</f>
        <v>1</v>
      </c>
      <c r="X87" s="62" t="n">
        <f aca="false">IF(X86&lt;=0,0,MIN(1,X85/X86))</f>
        <v>1</v>
      </c>
      <c r="Y87" s="62" t="n">
        <f aca="false">IF(Y86&lt;=0,0,MIN(1,Y85/Y86))</f>
        <v>1</v>
      </c>
      <c r="Z87" s="62" t="n">
        <f aca="false">IF(Z86&lt;=0,0,MIN(1,Z85/Z86))</f>
        <v>1</v>
      </c>
      <c r="AA87" s="62" t="n">
        <f aca="false">IF(AA86&lt;=0,0,MIN(1,AA85/AA86))</f>
        <v>1</v>
      </c>
      <c r="AB87" s="62" t="n">
        <f aca="false">IF(AB86&lt;=0,0,MIN(1,AB85/AB86))</f>
        <v>1</v>
      </c>
    </row>
    <row r="88" customFormat="false" ht="15" hidden="false" customHeight="false" outlineLevel="0" collapsed="false">
      <c r="A88" s="28" t="s">
        <v>917</v>
      </c>
      <c r="B88" s="58" t="s">
        <v>918</v>
      </c>
      <c r="C88" s="59" t="n">
        <f aca="false">P88</f>
        <v>145000</v>
      </c>
      <c r="D88" s="59" t="n">
        <f aca="false">AB88</f>
        <v>145000</v>
      </c>
      <c r="E88" s="60" t="n">
        <f aca="false">IF(E$5="A",N(Inputs_Actuals!E70),Project_Register!$W$11)</f>
        <v>0</v>
      </c>
      <c r="F88" s="60" t="n">
        <f aca="false">IF(F$5="A",N(Inputs_Actuals!F70),Project_Register!$W$11)</f>
        <v>0</v>
      </c>
      <c r="G88" s="60" t="n">
        <f aca="false">IF(G$5="A",N(Inputs_Actuals!G70),Project_Register!$W$11)</f>
        <v>145000</v>
      </c>
      <c r="H88" s="60" t="n">
        <f aca="false">IF(H$5="A",N(Inputs_Actuals!H70),Project_Register!$W$11)</f>
        <v>145000</v>
      </c>
      <c r="I88" s="60" t="n">
        <f aca="false">IF(I$5="A",N(Inputs_Actuals!I70),Project_Register!$W$11)</f>
        <v>145000</v>
      </c>
      <c r="J88" s="60" t="n">
        <f aca="false">IF(J$5="A",N(Inputs_Actuals!J70),Project_Register!$W$11)</f>
        <v>145000</v>
      </c>
      <c r="K88" s="60" t="n">
        <f aca="false">IF(K$5="A",N(Inputs_Actuals!K70),Project_Register!$W$11)</f>
        <v>145000</v>
      </c>
      <c r="L88" s="60" t="n">
        <f aca="false">IF(L$5="A",N(Inputs_Actuals!L70),Project_Register!$W$11)</f>
        <v>145000</v>
      </c>
      <c r="M88" s="60" t="n">
        <f aca="false">IF(M$5="A",N(Inputs_Actuals!M70),Project_Register!$W$11)</f>
        <v>145000</v>
      </c>
      <c r="N88" s="60" t="n">
        <f aca="false">IF(N$5="A",N(Inputs_Actuals!N70),Project_Register!$W$11)</f>
        <v>145000</v>
      </c>
      <c r="O88" s="60" t="n">
        <f aca="false">IF(O$5="A",N(Inputs_Actuals!O70),Project_Register!$W$11)</f>
        <v>145000</v>
      </c>
      <c r="P88" s="60" t="n">
        <f aca="false">IF(P$5="A",N(Inputs_Actuals!P70),Project_Register!$W$11)</f>
        <v>145000</v>
      </c>
      <c r="Q88" s="60" t="n">
        <f aca="false">IF(Q$5="A",N(Inputs_Actuals!Q70),Project_Register!$W$11)</f>
        <v>145000</v>
      </c>
      <c r="R88" s="60" t="n">
        <f aca="false">IF(R$5="A",N(Inputs_Actuals!R70),Project_Register!$W$11)</f>
        <v>145000</v>
      </c>
      <c r="S88" s="60" t="n">
        <f aca="false">IF(S$5="A",N(Inputs_Actuals!S70),Project_Register!$W$11)</f>
        <v>145000</v>
      </c>
      <c r="T88" s="60" t="n">
        <f aca="false">IF(T$5="A",N(Inputs_Actuals!T70),Project_Register!$W$11)</f>
        <v>145000</v>
      </c>
      <c r="U88" s="60" t="n">
        <f aca="false">IF(U$5="A",N(Inputs_Actuals!U70),Project_Register!$W$11)</f>
        <v>145000</v>
      </c>
      <c r="V88" s="60" t="n">
        <f aca="false">IF(V$5="A",N(Inputs_Actuals!V70),Project_Register!$W$11)</f>
        <v>145000</v>
      </c>
      <c r="W88" s="60" t="n">
        <f aca="false">IF(W$5="A",N(Inputs_Actuals!W70),Project_Register!$W$11)</f>
        <v>145000</v>
      </c>
      <c r="X88" s="60" t="n">
        <f aca="false">IF(X$5="A",N(Inputs_Actuals!X70),Project_Register!$W$11)</f>
        <v>145000</v>
      </c>
      <c r="Y88" s="60" t="n">
        <f aca="false">IF(Y$5="A",N(Inputs_Actuals!Y70),Project_Register!$W$11)</f>
        <v>145000</v>
      </c>
      <c r="Z88" s="60" t="n">
        <f aca="false">IF(Z$5="A",N(Inputs_Actuals!Z70),Project_Register!$W$11)</f>
        <v>145000</v>
      </c>
      <c r="AA88" s="60" t="n">
        <f aca="false">IF(AA$5="A",N(Inputs_Actuals!AA70),Project_Register!$W$11)</f>
        <v>145000</v>
      </c>
      <c r="AB88" s="60" t="n">
        <f aca="false">IF(AB$5="A",N(Inputs_Actuals!AB70),Project_Register!$W$11)</f>
        <v>145000</v>
      </c>
    </row>
    <row r="89" customFormat="false" ht="15" hidden="false" customHeight="false" outlineLevel="0" collapsed="false">
      <c r="A89" s="28" t="s">
        <v>919</v>
      </c>
      <c r="B89" s="58" t="s">
        <v>920</v>
      </c>
      <c r="C89" s="59" t="n">
        <f aca="false">P89</f>
        <v>145000</v>
      </c>
      <c r="D89" s="59" t="n">
        <f aca="false">AB89</f>
        <v>145000</v>
      </c>
      <c r="E89" s="60" t="n">
        <f aca="false">IF(E$5="A",Project_Register!$Q$11+Inputs_Actuals!E71,E87*E88)</f>
        <v>0</v>
      </c>
      <c r="F89" s="60" t="n">
        <f aca="false">IF(F$5="A",E89+Inputs_Actuals!F71,F87*F88)</f>
        <v>0</v>
      </c>
      <c r="G89" s="60" t="n">
        <f aca="false">IF(G$5="A",F89+Inputs_Actuals!G71,G87*G88)</f>
        <v>7830</v>
      </c>
      <c r="H89" s="60" t="n">
        <f aca="false">IF(H$5="A",G89+Inputs_Actuals!H71,H87*H88)</f>
        <v>29140</v>
      </c>
      <c r="I89" s="60" t="n">
        <f aca="false">IF(I$5="A",H89+Inputs_Actuals!I71,I87*I88)</f>
        <v>58430</v>
      </c>
      <c r="J89" s="60" t="n">
        <f aca="false">IF(J$5="A",I89+Inputs_Actuals!J71,J87*J88)</f>
        <v>91118</v>
      </c>
      <c r="K89" s="60" t="n">
        <f aca="false">IF(K$5="A",J89+Inputs_Actuals!K71,K87*K88)</f>
        <v>120379</v>
      </c>
      <c r="L89" s="60" t="n">
        <f aca="false">IF(L$5="A",K89+Inputs_Actuals!L71,L87*L88)</f>
        <v>136261.33</v>
      </c>
      <c r="M89" s="60" t="n">
        <f aca="false">IF(M$5="A",L89+Inputs_Actuals!M71,M87*M88)</f>
        <v>145000</v>
      </c>
      <c r="N89" s="60" t="n">
        <f aca="false">IF(N$5="A",M89+Inputs_Actuals!N71,N87*N88)</f>
        <v>145000</v>
      </c>
      <c r="O89" s="60" t="n">
        <f aca="false">IF(O$5="A",N89+Inputs_Actuals!O71,O87*O88)</f>
        <v>145000</v>
      </c>
      <c r="P89" s="60" t="n">
        <f aca="false">IF(P$5="A",O89+Inputs_Actuals!P71,P87*P88)</f>
        <v>145000</v>
      </c>
      <c r="Q89" s="60" t="n">
        <f aca="false">IF(Q$5="A",P89+Inputs_Actuals!Q71,Q87*Q88)</f>
        <v>145000</v>
      </c>
      <c r="R89" s="60" t="n">
        <f aca="false">IF(R$5="A",Q89+Inputs_Actuals!R71,R87*R88)</f>
        <v>145000</v>
      </c>
      <c r="S89" s="60" t="n">
        <f aca="false">IF(S$5="A",R89+Inputs_Actuals!S71,S87*S88)</f>
        <v>145000</v>
      </c>
      <c r="T89" s="60" t="n">
        <f aca="false">IF(T$5="A",S89+Inputs_Actuals!T71,T87*T88)</f>
        <v>145000</v>
      </c>
      <c r="U89" s="60" t="n">
        <f aca="false">IF(U$5="A",T89+Inputs_Actuals!U71,U87*U88)</f>
        <v>145000</v>
      </c>
      <c r="V89" s="60" t="n">
        <f aca="false">IF(V$5="A",U89+Inputs_Actuals!V71,V87*V88)</f>
        <v>145000</v>
      </c>
      <c r="W89" s="60" t="n">
        <f aca="false">IF(W$5="A",V89+Inputs_Actuals!W71,W87*W88)</f>
        <v>145000</v>
      </c>
      <c r="X89" s="60" t="n">
        <f aca="false">IF(X$5="A",W89+Inputs_Actuals!X71,X87*X88)</f>
        <v>145000</v>
      </c>
      <c r="Y89" s="60" t="n">
        <f aca="false">IF(Y$5="A",X89+Inputs_Actuals!Y71,Y87*Y88)</f>
        <v>145000</v>
      </c>
      <c r="Z89" s="60" t="n">
        <f aca="false">IF(Z$5="A",Y89+Inputs_Actuals!Z71,Z87*Z88)</f>
        <v>145000</v>
      </c>
      <c r="AA89" s="60" t="n">
        <f aca="false">IF(AA$5="A",Z89+Inputs_Actuals!AA71,AA87*AA88)</f>
        <v>145000</v>
      </c>
      <c r="AB89" s="60" t="n">
        <f aca="false">IF(AB$5="A",AA89+Inputs_Actuals!AB71,AB87*AB88)</f>
        <v>145000</v>
      </c>
    </row>
    <row r="90" customFormat="false" ht="15" hidden="false" customHeight="false" outlineLevel="0" collapsed="false">
      <c r="A90" s="68" t="s">
        <v>934</v>
      </c>
      <c r="B90" s="69" t="s">
        <v>922</v>
      </c>
      <c r="C90" s="70" t="n">
        <f aca="false">SUM(E90:P90)</f>
        <v>145000</v>
      </c>
      <c r="D90" s="70" t="n">
        <f aca="false">SUM(Q90:AB90)</f>
        <v>0</v>
      </c>
      <c r="E90" s="74" t="n">
        <f aca="false">E89-Project_Register!$Q$11</f>
        <v>0</v>
      </c>
      <c r="F90" s="70" t="n">
        <f aca="false">F89-E89</f>
        <v>0</v>
      </c>
      <c r="G90" s="70" t="n">
        <f aca="false">G89-F89</f>
        <v>7830</v>
      </c>
      <c r="H90" s="70" t="n">
        <f aca="false">H89-G89</f>
        <v>21310</v>
      </c>
      <c r="I90" s="70" t="n">
        <f aca="false">I89-H89</f>
        <v>29290</v>
      </c>
      <c r="J90" s="70" t="n">
        <f aca="false">J89-I89</f>
        <v>32688</v>
      </c>
      <c r="K90" s="70" t="n">
        <f aca="false">K89-J89</f>
        <v>29261</v>
      </c>
      <c r="L90" s="70" t="n">
        <f aca="false">L89-K89</f>
        <v>15882.33</v>
      </c>
      <c r="M90" s="70" t="n">
        <f aca="false">M89-L89</f>
        <v>8738.67000000001</v>
      </c>
      <c r="N90" s="70" t="n">
        <f aca="false">N89-M89</f>
        <v>0</v>
      </c>
      <c r="O90" s="70" t="n">
        <f aca="false">O89-N89</f>
        <v>0</v>
      </c>
      <c r="P90" s="70" t="n">
        <f aca="false">P89-O89</f>
        <v>0</v>
      </c>
      <c r="Q90" s="70" t="n">
        <f aca="false">Q89-P89</f>
        <v>0</v>
      </c>
      <c r="R90" s="70" t="n">
        <f aca="false">R89-Q89</f>
        <v>0</v>
      </c>
      <c r="S90" s="70" t="n">
        <f aca="false">S89-R89</f>
        <v>0</v>
      </c>
      <c r="T90" s="70" t="n">
        <f aca="false">T89-S89</f>
        <v>0</v>
      </c>
      <c r="U90" s="70" t="n">
        <f aca="false">U89-T89</f>
        <v>0</v>
      </c>
      <c r="V90" s="70" t="n">
        <f aca="false">V89-U89</f>
        <v>0</v>
      </c>
      <c r="W90" s="70" t="n">
        <f aca="false">W89-V89</f>
        <v>0</v>
      </c>
      <c r="X90" s="70" t="n">
        <f aca="false">X89-W89</f>
        <v>0</v>
      </c>
      <c r="Y90" s="70" t="n">
        <f aca="false">Y89-X89</f>
        <v>0</v>
      </c>
      <c r="Z90" s="70" t="n">
        <f aca="false">Z89-Y89</f>
        <v>0</v>
      </c>
      <c r="AA90" s="70" t="n">
        <f aca="false">AA89-Z89</f>
        <v>0</v>
      </c>
      <c r="AB90" s="70" t="n">
        <f aca="false">AB89-AA89</f>
        <v>0</v>
      </c>
    </row>
    <row r="91" customFormat="false" ht="15" hidden="false" customHeight="false" outlineLevel="0" collapsed="false">
      <c r="A91" s="28" t="s">
        <v>923</v>
      </c>
      <c r="B91" s="58" t="s">
        <v>924</v>
      </c>
      <c r="C91" s="59" t="n">
        <f aca="false">P91</f>
        <v>145000</v>
      </c>
      <c r="D91" s="59" t="n">
        <f aca="false">AB91</f>
        <v>145000</v>
      </c>
      <c r="E91" s="60" t="n">
        <f aca="false">E88*(Assumptions!$C$71*(Assumptions!E$99&gt;=Project_Register!$T$11)+Assumptions!$C$72*(Assumptions!E$99&gt;=Project_Register!$V$11)+Assumptions!$C$73*(Assumptions!E$99&gt;=Project_Register!$U$11))</f>
        <v>0</v>
      </c>
      <c r="F91" s="60" t="n">
        <f aca="false">F88*(Assumptions!$C$71*(Assumptions!F$99&gt;=Project_Register!$T$11)+Assumptions!$C$72*(Assumptions!F$99&gt;=Project_Register!$V$11)+Assumptions!$C$73*(Assumptions!F$99&gt;=Project_Register!$U$11))</f>
        <v>0</v>
      </c>
      <c r="G91" s="60" t="n">
        <f aca="false">G88*(Assumptions!$C$71*(Assumptions!G$99&gt;=Project_Register!$T$11)+Assumptions!$C$72*(Assumptions!G$99&gt;=Project_Register!$V$11)+Assumptions!$C$73*(Assumptions!G$99&gt;=Project_Register!$U$11))</f>
        <v>43500</v>
      </c>
      <c r="H91" s="60" t="n">
        <f aca="false">H88*(Assumptions!$C$71*(Assumptions!H$99&gt;=Project_Register!$T$11)+Assumptions!$C$72*(Assumptions!H$99&gt;=Project_Register!$V$11)+Assumptions!$C$73*(Assumptions!H$99&gt;=Project_Register!$U$11))</f>
        <v>43500</v>
      </c>
      <c r="I91" s="60" t="n">
        <f aca="false">I88*(Assumptions!$C$71*(Assumptions!I$99&gt;=Project_Register!$T$11)+Assumptions!$C$72*(Assumptions!I$99&gt;=Project_Register!$V$11)+Assumptions!$C$73*(Assumptions!I$99&gt;=Project_Register!$U$11))</f>
        <v>43500</v>
      </c>
      <c r="J91" s="60" t="n">
        <f aca="false">J88*(Assumptions!$C$71*(Assumptions!J$99&gt;=Project_Register!$T$11)+Assumptions!$C$72*(Assumptions!J$99&gt;=Project_Register!$V$11)+Assumptions!$C$73*(Assumptions!J$99&gt;=Project_Register!$U$11))</f>
        <v>101500</v>
      </c>
      <c r="K91" s="60" t="n">
        <f aca="false">K88*(Assumptions!$C$71*(Assumptions!K$99&gt;=Project_Register!$T$11)+Assumptions!$C$72*(Assumptions!K$99&gt;=Project_Register!$V$11)+Assumptions!$C$73*(Assumptions!K$99&gt;=Project_Register!$U$11))</f>
        <v>101500</v>
      </c>
      <c r="L91" s="60" t="n">
        <f aca="false">L88*(Assumptions!$C$71*(Assumptions!L$99&gt;=Project_Register!$T$11)+Assumptions!$C$72*(Assumptions!L$99&gt;=Project_Register!$V$11)+Assumptions!$C$73*(Assumptions!L$99&gt;=Project_Register!$U$11))</f>
        <v>101500</v>
      </c>
      <c r="M91" s="60" t="n">
        <f aca="false">M88*(Assumptions!$C$71*(Assumptions!M$99&gt;=Project_Register!$T$11)+Assumptions!$C$72*(Assumptions!M$99&gt;=Project_Register!$V$11)+Assumptions!$C$73*(Assumptions!M$99&gt;=Project_Register!$U$11))</f>
        <v>145000</v>
      </c>
      <c r="N91" s="60" t="n">
        <f aca="false">N88*(Assumptions!$C$71*(Assumptions!N$99&gt;=Project_Register!$T$11)+Assumptions!$C$72*(Assumptions!N$99&gt;=Project_Register!$V$11)+Assumptions!$C$73*(Assumptions!N$99&gt;=Project_Register!$U$11))</f>
        <v>145000</v>
      </c>
      <c r="O91" s="60" t="n">
        <f aca="false">O88*(Assumptions!$C$71*(Assumptions!O$99&gt;=Project_Register!$T$11)+Assumptions!$C$72*(Assumptions!O$99&gt;=Project_Register!$V$11)+Assumptions!$C$73*(Assumptions!O$99&gt;=Project_Register!$U$11))</f>
        <v>145000</v>
      </c>
      <c r="P91" s="60" t="n">
        <f aca="false">P88*(Assumptions!$C$71*(Assumptions!P$99&gt;=Project_Register!$T$11)+Assumptions!$C$72*(Assumptions!P$99&gt;=Project_Register!$V$11)+Assumptions!$C$73*(Assumptions!P$99&gt;=Project_Register!$U$11))</f>
        <v>145000</v>
      </c>
      <c r="Q91" s="60" t="n">
        <f aca="false">Q88*(Assumptions!$C$71*(Assumptions!Q$99&gt;=Project_Register!$T$11)+Assumptions!$C$72*(Assumptions!Q$99&gt;=Project_Register!$V$11)+Assumptions!$C$73*(Assumptions!Q$99&gt;=Project_Register!$U$11))</f>
        <v>145000</v>
      </c>
      <c r="R91" s="60" t="n">
        <f aca="false">R88*(Assumptions!$C$71*(Assumptions!R$99&gt;=Project_Register!$T$11)+Assumptions!$C$72*(Assumptions!R$99&gt;=Project_Register!$V$11)+Assumptions!$C$73*(Assumptions!R$99&gt;=Project_Register!$U$11))</f>
        <v>145000</v>
      </c>
      <c r="S91" s="60" t="n">
        <f aca="false">S88*(Assumptions!$C$71*(Assumptions!S$99&gt;=Project_Register!$T$11)+Assumptions!$C$72*(Assumptions!S$99&gt;=Project_Register!$V$11)+Assumptions!$C$73*(Assumptions!S$99&gt;=Project_Register!$U$11))</f>
        <v>145000</v>
      </c>
      <c r="T91" s="60" t="n">
        <f aca="false">T88*(Assumptions!$C$71*(Assumptions!T$99&gt;=Project_Register!$T$11)+Assumptions!$C$72*(Assumptions!T$99&gt;=Project_Register!$V$11)+Assumptions!$C$73*(Assumptions!T$99&gt;=Project_Register!$U$11))</f>
        <v>145000</v>
      </c>
      <c r="U91" s="60" t="n">
        <f aca="false">U88*(Assumptions!$C$71*(Assumptions!U$99&gt;=Project_Register!$T$11)+Assumptions!$C$72*(Assumptions!U$99&gt;=Project_Register!$V$11)+Assumptions!$C$73*(Assumptions!U$99&gt;=Project_Register!$U$11))</f>
        <v>145000</v>
      </c>
      <c r="V91" s="60" t="n">
        <f aca="false">V88*(Assumptions!$C$71*(Assumptions!V$99&gt;=Project_Register!$T$11)+Assumptions!$C$72*(Assumptions!V$99&gt;=Project_Register!$V$11)+Assumptions!$C$73*(Assumptions!V$99&gt;=Project_Register!$U$11))</f>
        <v>145000</v>
      </c>
      <c r="W91" s="60" t="n">
        <f aca="false">W88*(Assumptions!$C$71*(Assumptions!W$99&gt;=Project_Register!$T$11)+Assumptions!$C$72*(Assumptions!W$99&gt;=Project_Register!$V$11)+Assumptions!$C$73*(Assumptions!W$99&gt;=Project_Register!$U$11))</f>
        <v>145000</v>
      </c>
      <c r="X91" s="60" t="n">
        <f aca="false">X88*(Assumptions!$C$71*(Assumptions!X$99&gt;=Project_Register!$T$11)+Assumptions!$C$72*(Assumptions!X$99&gt;=Project_Register!$V$11)+Assumptions!$C$73*(Assumptions!X$99&gt;=Project_Register!$U$11))</f>
        <v>145000</v>
      </c>
      <c r="Y91" s="60" t="n">
        <f aca="false">Y88*(Assumptions!$C$71*(Assumptions!Y$99&gt;=Project_Register!$T$11)+Assumptions!$C$72*(Assumptions!Y$99&gt;=Project_Register!$V$11)+Assumptions!$C$73*(Assumptions!Y$99&gt;=Project_Register!$U$11))</f>
        <v>145000</v>
      </c>
      <c r="Z91" s="60" t="n">
        <f aca="false">Z88*(Assumptions!$C$71*(Assumptions!Z$99&gt;=Project_Register!$T$11)+Assumptions!$C$72*(Assumptions!Z$99&gt;=Project_Register!$V$11)+Assumptions!$C$73*(Assumptions!Z$99&gt;=Project_Register!$U$11))</f>
        <v>145000</v>
      </c>
      <c r="AA91" s="60" t="n">
        <f aca="false">AA88*(Assumptions!$C$71*(Assumptions!AA$99&gt;=Project_Register!$T$11)+Assumptions!$C$72*(Assumptions!AA$99&gt;=Project_Register!$V$11)+Assumptions!$C$73*(Assumptions!AA$99&gt;=Project_Register!$U$11))</f>
        <v>145000</v>
      </c>
      <c r="AB91" s="60" t="n">
        <f aca="false">AB88*(Assumptions!$C$71*(Assumptions!AB$99&gt;=Project_Register!$T$11)+Assumptions!$C$72*(Assumptions!AB$99&gt;=Project_Register!$V$11)+Assumptions!$C$73*(Assumptions!AB$99&gt;=Project_Register!$U$11))</f>
        <v>145000</v>
      </c>
    </row>
    <row r="92" customFormat="false" ht="15" hidden="false" customHeight="false" outlineLevel="0" collapsed="false">
      <c r="A92" s="28" t="s">
        <v>925</v>
      </c>
      <c r="B92" s="58" t="s">
        <v>926</v>
      </c>
      <c r="C92" s="59" t="n">
        <f aca="false">SUM(E92:P92)</f>
        <v>145000</v>
      </c>
      <c r="D92" s="59" t="n">
        <f aca="false">SUM(Q92:AB92)</f>
        <v>0</v>
      </c>
      <c r="E92" s="60" t="n">
        <f aca="false">IF(E$5="A",Inputs_Actuals!E72,MAX(0,E91-Project_Register!$R$11))</f>
        <v>0</v>
      </c>
      <c r="F92" s="60" t="n">
        <f aca="false">IF(F$5="A",Inputs_Actuals!F72,MAX(0,F91-E93))</f>
        <v>0</v>
      </c>
      <c r="G92" s="60" t="n">
        <f aca="false">IF(G$5="A",Inputs_Actuals!G72,MAX(0,G91-F93))</f>
        <v>43500</v>
      </c>
      <c r="H92" s="60" t="n">
        <f aca="false">IF(H$5="A",Inputs_Actuals!H72,MAX(0,H91-G93))</f>
        <v>0</v>
      </c>
      <c r="I92" s="60" t="n">
        <f aca="false">IF(I$5="A",Inputs_Actuals!I72,MAX(0,I91-H93))</f>
        <v>0</v>
      </c>
      <c r="J92" s="60" t="n">
        <f aca="false">IF(J$5="A",Inputs_Actuals!J72,MAX(0,J91-I93))</f>
        <v>58000</v>
      </c>
      <c r="K92" s="60" t="n">
        <f aca="false">IF(K$5="A",Inputs_Actuals!K72,MAX(0,K91-J93))</f>
        <v>0</v>
      </c>
      <c r="L92" s="60" t="n">
        <f aca="false">IF(L$5="A",Inputs_Actuals!L72,MAX(0,L91-K93))</f>
        <v>0</v>
      </c>
      <c r="M92" s="60" t="n">
        <f aca="false">IF(M$5="A",Inputs_Actuals!M72,MAX(0,M91-L93))</f>
        <v>43500</v>
      </c>
      <c r="N92" s="60" t="n">
        <f aca="false">IF(N$5="A",Inputs_Actuals!N72,MAX(0,N91-M93))</f>
        <v>0</v>
      </c>
      <c r="O92" s="60" t="n">
        <f aca="false">IF(O$5="A",Inputs_Actuals!O72,MAX(0,O91-N93))</f>
        <v>0</v>
      </c>
      <c r="P92" s="60" t="n">
        <f aca="false">IF(P$5="A",Inputs_Actuals!P72,MAX(0,P91-O93))</f>
        <v>0</v>
      </c>
      <c r="Q92" s="60" t="n">
        <f aca="false">IF(Q$5="A",Inputs_Actuals!Q72,MAX(0,Q91-P93))</f>
        <v>0</v>
      </c>
      <c r="R92" s="60" t="n">
        <f aca="false">IF(R$5="A",Inputs_Actuals!R72,MAX(0,R91-Q93))</f>
        <v>0</v>
      </c>
      <c r="S92" s="60" t="n">
        <f aca="false">IF(S$5="A",Inputs_Actuals!S72,MAX(0,S91-R93))</f>
        <v>0</v>
      </c>
      <c r="T92" s="60" t="n">
        <f aca="false">IF(T$5="A",Inputs_Actuals!T72,MAX(0,T91-S93))</f>
        <v>0</v>
      </c>
      <c r="U92" s="60" t="n">
        <f aca="false">IF(U$5="A",Inputs_Actuals!U72,MAX(0,U91-T93))</f>
        <v>0</v>
      </c>
      <c r="V92" s="60" t="n">
        <f aca="false">IF(V$5="A",Inputs_Actuals!V72,MAX(0,V91-U93))</f>
        <v>0</v>
      </c>
      <c r="W92" s="60" t="n">
        <f aca="false">IF(W$5="A",Inputs_Actuals!W72,MAX(0,W91-V93))</f>
        <v>0</v>
      </c>
      <c r="X92" s="60" t="n">
        <f aca="false">IF(X$5="A",Inputs_Actuals!X72,MAX(0,X91-W93))</f>
        <v>0</v>
      </c>
      <c r="Y92" s="60" t="n">
        <f aca="false">IF(Y$5="A",Inputs_Actuals!Y72,MAX(0,Y91-X93))</f>
        <v>0</v>
      </c>
      <c r="Z92" s="60" t="n">
        <f aca="false">IF(Z$5="A",Inputs_Actuals!Z72,MAX(0,Z91-Y93))</f>
        <v>0</v>
      </c>
      <c r="AA92" s="60" t="n">
        <f aca="false">IF(AA$5="A",Inputs_Actuals!AA72,MAX(0,AA91-Z93))</f>
        <v>0</v>
      </c>
      <c r="AB92" s="60" t="n">
        <f aca="false">IF(AB$5="A",Inputs_Actuals!AB72,MAX(0,AB91-AA93))</f>
        <v>0</v>
      </c>
    </row>
    <row r="93" customFormat="false" ht="15" hidden="false" customHeight="false" outlineLevel="0" collapsed="false">
      <c r="A93" s="28" t="s">
        <v>927</v>
      </c>
      <c r="B93" s="58"/>
      <c r="C93" s="59" t="n">
        <f aca="false">P93</f>
        <v>145000</v>
      </c>
      <c r="D93" s="59" t="n">
        <f aca="false">AB93</f>
        <v>145000</v>
      </c>
      <c r="E93" s="60" t="n">
        <f aca="false">Project_Register!$R$11+E92</f>
        <v>0</v>
      </c>
      <c r="F93" s="71" t="n">
        <f aca="false">E93+F92</f>
        <v>0</v>
      </c>
      <c r="G93" s="71" t="n">
        <f aca="false">F93+G92</f>
        <v>43500</v>
      </c>
      <c r="H93" s="71" t="n">
        <f aca="false">G93+H92</f>
        <v>43500</v>
      </c>
      <c r="I93" s="71" t="n">
        <f aca="false">H93+I92</f>
        <v>43500</v>
      </c>
      <c r="J93" s="71" t="n">
        <f aca="false">I93+J92</f>
        <v>101500</v>
      </c>
      <c r="K93" s="71" t="n">
        <f aca="false">J93+K92</f>
        <v>101500</v>
      </c>
      <c r="L93" s="71" t="n">
        <f aca="false">K93+L92</f>
        <v>101500</v>
      </c>
      <c r="M93" s="71" t="n">
        <f aca="false">L93+M92</f>
        <v>145000</v>
      </c>
      <c r="N93" s="71" t="n">
        <f aca="false">M93+N92</f>
        <v>145000</v>
      </c>
      <c r="O93" s="71" t="n">
        <f aca="false">N93+O92</f>
        <v>145000</v>
      </c>
      <c r="P93" s="71" t="n">
        <f aca="false">O93+P92</f>
        <v>145000</v>
      </c>
      <c r="Q93" s="71" t="n">
        <f aca="false">P93+Q92</f>
        <v>145000</v>
      </c>
      <c r="R93" s="71" t="n">
        <f aca="false">Q93+R92</f>
        <v>145000</v>
      </c>
      <c r="S93" s="71" t="n">
        <f aca="false">R93+S92</f>
        <v>145000</v>
      </c>
      <c r="T93" s="71" t="n">
        <f aca="false">S93+T92</f>
        <v>145000</v>
      </c>
      <c r="U93" s="71" t="n">
        <f aca="false">T93+U92</f>
        <v>145000</v>
      </c>
      <c r="V93" s="71" t="n">
        <f aca="false">U93+V92</f>
        <v>145000</v>
      </c>
      <c r="W93" s="71" t="n">
        <f aca="false">V93+W92</f>
        <v>145000</v>
      </c>
      <c r="X93" s="71" t="n">
        <f aca="false">W93+X92</f>
        <v>145000</v>
      </c>
      <c r="Y93" s="71" t="n">
        <f aca="false">X93+Y92</f>
        <v>145000</v>
      </c>
      <c r="Z93" s="71" t="n">
        <f aca="false">Y93+Z92</f>
        <v>145000</v>
      </c>
      <c r="AA93" s="71" t="n">
        <f aca="false">Z93+AA92</f>
        <v>145000</v>
      </c>
      <c r="AB93" s="71" t="n">
        <f aca="false">AA93+AB92</f>
        <v>145000</v>
      </c>
    </row>
    <row r="94" customFormat="false" ht="15" hidden="false" customHeight="false" outlineLevel="0" collapsed="false">
      <c r="A94" s="28" t="s">
        <v>928</v>
      </c>
      <c r="B94" s="58" t="s">
        <v>929</v>
      </c>
      <c r="C94" s="59" t="n">
        <f aca="false">P94</f>
        <v>0</v>
      </c>
      <c r="D94" s="59" t="n">
        <f aca="false">AB94</f>
        <v>0</v>
      </c>
      <c r="E94" s="71" t="n">
        <f aca="false">E89-E93</f>
        <v>0</v>
      </c>
      <c r="F94" s="71" t="n">
        <f aca="false">F89-F93</f>
        <v>0</v>
      </c>
      <c r="G94" s="71" t="n">
        <f aca="false">G89-G93</f>
        <v>-35670</v>
      </c>
      <c r="H94" s="71" t="n">
        <f aca="false">H89-H93</f>
        <v>-14360</v>
      </c>
      <c r="I94" s="71" t="n">
        <f aca="false">I89-I93</f>
        <v>14930</v>
      </c>
      <c r="J94" s="71" t="n">
        <f aca="false">J89-J93</f>
        <v>-10382</v>
      </c>
      <c r="K94" s="71" t="n">
        <f aca="false">K89-K93</f>
        <v>18879</v>
      </c>
      <c r="L94" s="71" t="n">
        <f aca="false">L89-L93</f>
        <v>34761.33</v>
      </c>
      <c r="M94" s="71" t="n">
        <f aca="false">M89-M93</f>
        <v>0</v>
      </c>
      <c r="N94" s="71" t="n">
        <f aca="false">N89-N93</f>
        <v>0</v>
      </c>
      <c r="O94" s="71" t="n">
        <f aca="false">O89-O93</f>
        <v>0</v>
      </c>
      <c r="P94" s="71" t="n">
        <f aca="false">P89-P93</f>
        <v>0</v>
      </c>
      <c r="Q94" s="71" t="n">
        <f aca="false">Q89-Q93</f>
        <v>0</v>
      </c>
      <c r="R94" s="71" t="n">
        <f aca="false">R89-R93</f>
        <v>0</v>
      </c>
      <c r="S94" s="71" t="n">
        <f aca="false">S89-S93</f>
        <v>0</v>
      </c>
      <c r="T94" s="71" t="n">
        <f aca="false">T89-T93</f>
        <v>0</v>
      </c>
      <c r="U94" s="71" t="n">
        <f aca="false">U89-U93</f>
        <v>0</v>
      </c>
      <c r="V94" s="71" t="n">
        <f aca="false">V89-V93</f>
        <v>0</v>
      </c>
      <c r="W94" s="71" t="n">
        <f aca="false">W89-W93</f>
        <v>0</v>
      </c>
      <c r="X94" s="71" t="n">
        <f aca="false">X89-X93</f>
        <v>0</v>
      </c>
      <c r="Y94" s="71" t="n">
        <f aca="false">Y89-Y93</f>
        <v>0</v>
      </c>
      <c r="Z94" s="71" t="n">
        <f aca="false">Z89-Z93</f>
        <v>0</v>
      </c>
      <c r="AA94" s="71" t="n">
        <f aca="false">AA89-AA93</f>
        <v>0</v>
      </c>
      <c r="AB94" s="71" t="n">
        <f aca="false">AB89-AB93</f>
        <v>0</v>
      </c>
    </row>
    <row r="95" customFormat="false" ht="15" hidden="false" customHeight="false" outlineLevel="0" collapsed="false">
      <c r="A95" s="28" t="s">
        <v>930</v>
      </c>
      <c r="B95" s="58"/>
      <c r="C95" s="59" t="n">
        <f aca="false">P95</f>
        <v>0</v>
      </c>
      <c r="D95" s="59" t="n">
        <f aca="false">AB95</f>
        <v>0</v>
      </c>
      <c r="E95" s="71" t="n">
        <f aca="false">MAX(0,E88-E89)</f>
        <v>0</v>
      </c>
      <c r="F95" s="71" t="n">
        <f aca="false">MAX(0,F88-F89)</f>
        <v>0</v>
      </c>
      <c r="G95" s="71" t="n">
        <f aca="false">MAX(0,G88-G89)</f>
        <v>137170</v>
      </c>
      <c r="H95" s="71" t="n">
        <f aca="false">MAX(0,H88-H89)</f>
        <v>115860</v>
      </c>
      <c r="I95" s="71" t="n">
        <f aca="false">MAX(0,I88-I89)</f>
        <v>86570</v>
      </c>
      <c r="J95" s="71" t="n">
        <f aca="false">MAX(0,J88-J89)</f>
        <v>53882</v>
      </c>
      <c r="K95" s="71" t="n">
        <f aca="false">MAX(0,K88-K89)</f>
        <v>24621</v>
      </c>
      <c r="L95" s="71" t="n">
        <f aca="false">MAX(0,L88-L89)</f>
        <v>8738.67000000001</v>
      </c>
      <c r="M95" s="71" t="n">
        <f aca="false">MAX(0,M88-M89)</f>
        <v>0</v>
      </c>
      <c r="N95" s="71" t="n">
        <f aca="false">MAX(0,N88-N89)</f>
        <v>0</v>
      </c>
      <c r="O95" s="71" t="n">
        <f aca="false">MAX(0,O88-O89)</f>
        <v>0</v>
      </c>
      <c r="P95" s="71" t="n">
        <f aca="false">MAX(0,P88-P89)</f>
        <v>0</v>
      </c>
      <c r="Q95" s="71" t="n">
        <f aca="false">MAX(0,Q88-Q89)</f>
        <v>0</v>
      </c>
      <c r="R95" s="71" t="n">
        <f aca="false">MAX(0,R88-R89)</f>
        <v>0</v>
      </c>
      <c r="S95" s="71" t="n">
        <f aca="false">MAX(0,S88-S89)</f>
        <v>0</v>
      </c>
      <c r="T95" s="71" t="n">
        <f aca="false">MAX(0,T88-T89)</f>
        <v>0</v>
      </c>
      <c r="U95" s="71" t="n">
        <f aca="false">MAX(0,U88-U89)</f>
        <v>0</v>
      </c>
      <c r="V95" s="71" t="n">
        <f aca="false">MAX(0,V88-V89)</f>
        <v>0</v>
      </c>
      <c r="W95" s="71" t="n">
        <f aca="false">MAX(0,W88-W89)</f>
        <v>0</v>
      </c>
      <c r="X95" s="71" t="n">
        <f aca="false">MAX(0,X88-X89)</f>
        <v>0</v>
      </c>
      <c r="Y95" s="71" t="n">
        <f aca="false">MAX(0,Y88-Y89)</f>
        <v>0</v>
      </c>
      <c r="Z95" s="71" t="n">
        <f aca="false">MAX(0,Z88-Z89)</f>
        <v>0</v>
      </c>
      <c r="AA95" s="71" t="n">
        <f aca="false">MAX(0,AA88-AA89)</f>
        <v>0</v>
      </c>
      <c r="AB95" s="71" t="n">
        <f aca="false">MAX(0,AB88-AB89)</f>
        <v>0</v>
      </c>
    </row>
    <row r="96" customFormat="false" ht="15" hidden="false" customHeight="false" outlineLevel="0" collapsed="false">
      <c r="A96" s="28" t="s">
        <v>931</v>
      </c>
      <c r="B96" s="58" t="s">
        <v>932</v>
      </c>
      <c r="E96" s="71" t="n">
        <f aca="false">IF(E$5="A",ROUND(E89-E87*E88,0),0)</f>
        <v>0</v>
      </c>
      <c r="F96" s="71" t="n">
        <f aca="false">IF(F$5="A",ROUND(F89-F87*F88,0),0)</f>
        <v>0</v>
      </c>
      <c r="G96" s="71" t="n">
        <f aca="false">IF(G$5="A",ROUND(G89-G87*G88,0),0)</f>
        <v>0</v>
      </c>
      <c r="H96" s="71" t="n">
        <f aca="false">IF(H$5="A",ROUND(H89-H87*H88,0),0)</f>
        <v>0</v>
      </c>
      <c r="I96" s="71" t="n">
        <f aca="false">IF(I$5="A",ROUND(I89-I87*I88,0),0)</f>
        <v>0</v>
      </c>
      <c r="J96" s="71" t="n">
        <f aca="false">IF(J$5="A",ROUND(J89-J87*J88,0),0)</f>
        <v>0</v>
      </c>
      <c r="K96" s="71" t="n">
        <f aca="false">IF(K$5="A",ROUND(K89-K87*K88,0),0)</f>
        <v>0</v>
      </c>
      <c r="L96" s="71" t="n">
        <f aca="false">IF(L$5="A",ROUND(L89-L87*L88,0),0)</f>
        <v>-0</v>
      </c>
      <c r="M96" s="71" t="n">
        <f aca="false">IF(M$5="A",ROUND(M89-M87*M88,0),0)</f>
        <v>0</v>
      </c>
      <c r="N96" s="71" t="n">
        <f aca="false">IF(N$5="A",ROUND(N89-N87*N88,0),0)</f>
        <v>0</v>
      </c>
      <c r="O96" s="71" t="n">
        <f aca="false">IF(O$5="A",ROUND(O89-O87*O88,0),0)</f>
        <v>0</v>
      </c>
      <c r="P96" s="71" t="n">
        <f aca="false">IF(P$5="A",ROUND(P89-P87*P88,0),0)</f>
        <v>0</v>
      </c>
      <c r="Q96" s="71" t="n">
        <f aca="false">IF(Q$5="A",ROUND(Q89-Q87*Q88,0),0)</f>
        <v>0</v>
      </c>
      <c r="R96" s="71" t="n">
        <f aca="false">IF(R$5="A",ROUND(R89-R87*R88,0),0)</f>
        <v>0</v>
      </c>
      <c r="S96" s="71" t="n">
        <f aca="false">IF(S$5="A",ROUND(S89-S87*S88,0),0)</f>
        <v>0</v>
      </c>
      <c r="T96" s="71" t="n">
        <f aca="false">IF(T$5="A",ROUND(T89-T87*T88,0),0)</f>
        <v>0</v>
      </c>
      <c r="U96" s="71" t="n">
        <f aca="false">IF(U$5="A",ROUND(U89-U87*U88,0),0)</f>
        <v>0</v>
      </c>
      <c r="V96" s="71" t="n">
        <f aca="false">IF(V$5="A",ROUND(V89-V87*V88,0),0)</f>
        <v>0</v>
      </c>
      <c r="W96" s="71" t="n">
        <f aca="false">IF(W$5="A",ROUND(W89-W87*W88,0),0)</f>
        <v>0</v>
      </c>
      <c r="X96" s="71" t="n">
        <f aca="false">IF(X$5="A",ROUND(X89-X87*X88,0),0)</f>
        <v>0</v>
      </c>
      <c r="Y96" s="71" t="n">
        <f aca="false">IF(Y$5="A",ROUND(Y89-Y87*Y88,0),0)</f>
        <v>0</v>
      </c>
      <c r="Z96" s="71" t="n">
        <f aca="false">IF(Z$5="A",ROUND(Z89-Z87*Z88,0),0)</f>
        <v>0</v>
      </c>
      <c r="AA96" s="71" t="n">
        <f aca="false">IF(AA$5="A",ROUND(AA89-AA87*AA88,0),0)</f>
        <v>0</v>
      </c>
      <c r="AB96" s="71" t="n">
        <f aca="false">IF(AB$5="A",ROUND(AB89-AB87*AB88,0),0)</f>
        <v>0</v>
      </c>
    </row>
    <row r="98" customFormat="false" ht="15" hidden="false" customHeight="false" outlineLevel="0" collapsed="false">
      <c r="A98" s="22" t="s">
        <v>939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row>
    <row r="99" customFormat="false" ht="15" hidden="false" customHeight="false" outlineLevel="0" collapsed="false">
      <c r="A99" s="28" t="s">
        <v>905</v>
      </c>
      <c r="B99" s="58" t="s">
        <v>906</v>
      </c>
      <c r="E99" s="112" t="n">
        <f aca="false">MIN(1,MAX(0,(Assumptions!E$99-Project_Register!$T$12+1)/(Project_Register!$U$12-Project_Register!$T$12+1)))</f>
        <v>0</v>
      </c>
      <c r="F99" s="112" t="n">
        <f aca="false">MIN(1,MAX(0,(Assumptions!F$99-Project_Register!$T$12+1)/(Project_Register!$U$12-Project_Register!$T$12+1)))</f>
        <v>0</v>
      </c>
      <c r="G99" s="112" t="n">
        <f aca="false">MIN(1,MAX(0,(Assumptions!G$99-Project_Register!$T$12+1)/(Project_Register!$U$12-Project_Register!$T$12+1)))</f>
        <v>0</v>
      </c>
      <c r="H99" s="112" t="n">
        <f aca="false">MIN(1,MAX(0,(Assumptions!H$99-Project_Register!$T$12+1)/(Project_Register!$U$12-Project_Register!$T$12+1)))</f>
        <v>0</v>
      </c>
      <c r="I99" s="112" t="n">
        <f aca="false">MIN(1,MAX(0,(Assumptions!I$99-Project_Register!$T$12+1)/(Project_Register!$U$12-Project_Register!$T$12+1)))</f>
        <v>0.166666666666667</v>
      </c>
      <c r="J99" s="112" t="n">
        <f aca="false">MIN(1,MAX(0,(Assumptions!J$99-Project_Register!$T$12+1)/(Project_Register!$U$12-Project_Register!$T$12+1)))</f>
        <v>0.333333333333333</v>
      </c>
      <c r="K99" s="112" t="n">
        <f aca="false">MIN(1,MAX(0,(Assumptions!K$99-Project_Register!$T$12+1)/(Project_Register!$U$12-Project_Register!$T$12+1)))</f>
        <v>0.5</v>
      </c>
      <c r="L99" s="112" t="n">
        <f aca="false">MIN(1,MAX(0,(Assumptions!L$99-Project_Register!$T$12+1)/(Project_Register!$U$12-Project_Register!$T$12+1)))</f>
        <v>0.666666666666667</v>
      </c>
      <c r="M99" s="112" t="n">
        <f aca="false">MIN(1,MAX(0,(Assumptions!M$99-Project_Register!$T$12+1)/(Project_Register!$U$12-Project_Register!$T$12+1)))</f>
        <v>0.833333333333333</v>
      </c>
      <c r="N99" s="112" t="n">
        <f aca="false">MIN(1,MAX(0,(Assumptions!N$99-Project_Register!$T$12+1)/(Project_Register!$U$12-Project_Register!$T$12+1)))</f>
        <v>1</v>
      </c>
      <c r="O99" s="112" t="n">
        <f aca="false">MIN(1,MAX(0,(Assumptions!O$99-Project_Register!$T$12+1)/(Project_Register!$U$12-Project_Register!$T$12+1)))</f>
        <v>1</v>
      </c>
      <c r="P99" s="112" t="n">
        <f aca="false">MIN(1,MAX(0,(Assumptions!P$99-Project_Register!$T$12+1)/(Project_Register!$U$12-Project_Register!$T$12+1)))</f>
        <v>1</v>
      </c>
      <c r="Q99" s="112" t="n">
        <f aca="false">MIN(1,MAX(0,(Assumptions!Q$99-Project_Register!$T$12+1)/(Project_Register!$U$12-Project_Register!$T$12+1)))</f>
        <v>1</v>
      </c>
      <c r="R99" s="112" t="n">
        <f aca="false">MIN(1,MAX(0,(Assumptions!R$99-Project_Register!$T$12+1)/(Project_Register!$U$12-Project_Register!$T$12+1)))</f>
        <v>1</v>
      </c>
      <c r="S99" s="112" t="n">
        <f aca="false">MIN(1,MAX(0,(Assumptions!S$99-Project_Register!$T$12+1)/(Project_Register!$U$12-Project_Register!$T$12+1)))</f>
        <v>1</v>
      </c>
      <c r="T99" s="112" t="n">
        <f aca="false">MIN(1,MAX(0,(Assumptions!T$99-Project_Register!$T$12+1)/(Project_Register!$U$12-Project_Register!$T$12+1)))</f>
        <v>1</v>
      </c>
      <c r="U99" s="112" t="n">
        <f aca="false">MIN(1,MAX(0,(Assumptions!U$99-Project_Register!$T$12+1)/(Project_Register!$U$12-Project_Register!$T$12+1)))</f>
        <v>1</v>
      </c>
      <c r="V99" s="112" t="n">
        <f aca="false">MIN(1,MAX(0,(Assumptions!V$99-Project_Register!$T$12+1)/(Project_Register!$U$12-Project_Register!$T$12+1)))</f>
        <v>1</v>
      </c>
      <c r="W99" s="112" t="n">
        <f aca="false">MIN(1,MAX(0,(Assumptions!W$99-Project_Register!$T$12+1)/(Project_Register!$U$12-Project_Register!$T$12+1)))</f>
        <v>1</v>
      </c>
      <c r="X99" s="112" t="n">
        <f aca="false">MIN(1,MAX(0,(Assumptions!X$99-Project_Register!$T$12+1)/(Project_Register!$U$12-Project_Register!$T$12+1)))</f>
        <v>1</v>
      </c>
      <c r="Y99" s="112" t="n">
        <f aca="false">MIN(1,MAX(0,(Assumptions!Y$99-Project_Register!$T$12+1)/(Project_Register!$U$12-Project_Register!$T$12+1)))</f>
        <v>1</v>
      </c>
      <c r="Z99" s="112" t="n">
        <f aca="false">MIN(1,MAX(0,(Assumptions!Z$99-Project_Register!$T$12+1)/(Project_Register!$U$12-Project_Register!$T$12+1)))</f>
        <v>1</v>
      </c>
      <c r="AA99" s="112" t="n">
        <f aca="false">MIN(1,MAX(0,(Assumptions!AA$99-Project_Register!$T$12+1)/(Project_Register!$U$12-Project_Register!$T$12+1)))</f>
        <v>1</v>
      </c>
      <c r="AB99" s="112" t="n">
        <f aca="false">MIN(1,MAX(0,(Assumptions!AB$99-Project_Register!$T$12+1)/(Project_Register!$U$12-Project_Register!$T$12+1)))</f>
        <v>1</v>
      </c>
    </row>
    <row r="100" customFormat="false" ht="15" hidden="false" customHeight="false" outlineLevel="0" collapsed="false">
      <c r="A100" s="28" t="s">
        <v>907</v>
      </c>
      <c r="B100" s="58" t="s">
        <v>908</v>
      </c>
      <c r="E100" s="113" t="n">
        <f aca="false">3*E99^2-2*E99^3</f>
        <v>0</v>
      </c>
      <c r="F100" s="113" t="n">
        <f aca="false">3*F99^2-2*F99^3</f>
        <v>0</v>
      </c>
      <c r="G100" s="113" t="n">
        <f aca="false">3*G99^2-2*G99^3</f>
        <v>0</v>
      </c>
      <c r="H100" s="113" t="n">
        <f aca="false">3*H99^2-2*H99^3</f>
        <v>0</v>
      </c>
      <c r="I100" s="113" t="n">
        <f aca="false">3*I99^2-2*I99^3</f>
        <v>0.0740740740740741</v>
      </c>
      <c r="J100" s="113" t="n">
        <f aca="false">3*J99^2-2*J99^3</f>
        <v>0.259259259259259</v>
      </c>
      <c r="K100" s="113" t="n">
        <f aca="false">3*K99^2-2*K99^3</f>
        <v>0.5</v>
      </c>
      <c r="L100" s="113" t="n">
        <f aca="false">3*L99^2-2*L99^3</f>
        <v>0.740740740740741</v>
      </c>
      <c r="M100" s="113" t="n">
        <f aca="false">3*M99^2-2*M99^3</f>
        <v>0.925925925925926</v>
      </c>
      <c r="N100" s="113" t="n">
        <f aca="false">3*N99^2-2*N99^3</f>
        <v>1</v>
      </c>
      <c r="O100" s="113" t="n">
        <f aca="false">3*O99^2-2*O99^3</f>
        <v>1</v>
      </c>
      <c r="P100" s="113" t="n">
        <f aca="false">3*P99^2-2*P99^3</f>
        <v>1</v>
      </c>
      <c r="Q100" s="113" t="n">
        <f aca="false">3*Q99^2-2*Q99^3</f>
        <v>1</v>
      </c>
      <c r="R100" s="113" t="n">
        <f aca="false">3*R99^2-2*R99^3</f>
        <v>1</v>
      </c>
      <c r="S100" s="113" t="n">
        <f aca="false">3*S99^2-2*S99^3</f>
        <v>1</v>
      </c>
      <c r="T100" s="113" t="n">
        <f aca="false">3*T99^2-2*T99^3</f>
        <v>1</v>
      </c>
      <c r="U100" s="113" t="n">
        <f aca="false">3*U99^2-2*U99^3</f>
        <v>1</v>
      </c>
      <c r="V100" s="113" t="n">
        <f aca="false">3*V99^2-2*V99^3</f>
        <v>1</v>
      </c>
      <c r="W100" s="113" t="n">
        <f aca="false">3*W99^2-2*W99^3</f>
        <v>1</v>
      </c>
      <c r="X100" s="113" t="n">
        <f aca="false">3*X99^2-2*X99^3</f>
        <v>1</v>
      </c>
      <c r="Y100" s="113" t="n">
        <f aca="false">3*Y99^2-2*Y99^3</f>
        <v>1</v>
      </c>
      <c r="Z100" s="113" t="n">
        <f aca="false">3*Z99^2-2*Z99^3</f>
        <v>1</v>
      </c>
      <c r="AA100" s="113" t="n">
        <f aca="false">3*AA99^2-2*AA99^3</f>
        <v>1</v>
      </c>
      <c r="AB100" s="113" t="n">
        <f aca="false">3*AB99^2-2*AB99^3</f>
        <v>1</v>
      </c>
    </row>
    <row r="101" customFormat="false" ht="15" hidden="false" customHeight="false" outlineLevel="0" collapsed="false">
      <c r="A101" s="28" t="s">
        <v>909</v>
      </c>
      <c r="B101" s="58"/>
      <c r="E101" s="112" t="n">
        <f aca="false">3*MIN(1,MAX(0,(Assumptions!E$99-Project_Register!$T$12)/(Project_Register!$U$12-Project_Register!$T$12+1)))^2-2*MIN(1,MAX(0,(Assumptions!E$99-Project_Register!$T$12)/(Project_Register!$U$12-Project_Register!$T$12+1)))^3</f>
        <v>0</v>
      </c>
      <c r="F101" s="112" t="n">
        <f aca="false">3*MIN(1,MAX(0,(Assumptions!F$99-Project_Register!$T$12)/(Project_Register!$U$12-Project_Register!$T$12+1)))^2-2*MIN(1,MAX(0,(Assumptions!F$99-Project_Register!$T$12)/(Project_Register!$U$12-Project_Register!$T$12+1)))^3</f>
        <v>0</v>
      </c>
      <c r="G101" s="112" t="n">
        <f aca="false">3*MIN(1,MAX(0,(Assumptions!G$99-Project_Register!$T$12)/(Project_Register!$U$12-Project_Register!$T$12+1)))^2-2*MIN(1,MAX(0,(Assumptions!G$99-Project_Register!$T$12)/(Project_Register!$U$12-Project_Register!$T$12+1)))^3</f>
        <v>0</v>
      </c>
      <c r="H101" s="112" t="n">
        <f aca="false">3*MIN(1,MAX(0,(Assumptions!H$99-Project_Register!$T$12)/(Project_Register!$U$12-Project_Register!$T$12+1)))^2-2*MIN(1,MAX(0,(Assumptions!H$99-Project_Register!$T$12)/(Project_Register!$U$12-Project_Register!$T$12+1)))^3</f>
        <v>0</v>
      </c>
      <c r="I101" s="112" t="n">
        <f aca="false">3*MIN(1,MAX(0,(Assumptions!I$99-Project_Register!$T$12)/(Project_Register!$U$12-Project_Register!$T$12+1)))^2-2*MIN(1,MAX(0,(Assumptions!I$99-Project_Register!$T$12)/(Project_Register!$U$12-Project_Register!$T$12+1)))^3</f>
        <v>0</v>
      </c>
      <c r="J101" s="112" t="n">
        <f aca="false">3*MIN(1,MAX(0,(Assumptions!J$99-Project_Register!$T$12)/(Project_Register!$U$12-Project_Register!$T$12+1)))^2-2*MIN(1,MAX(0,(Assumptions!J$99-Project_Register!$T$12)/(Project_Register!$U$12-Project_Register!$T$12+1)))^3</f>
        <v>0.0740740740740741</v>
      </c>
      <c r="K101" s="112" t="n">
        <f aca="false">3*MIN(1,MAX(0,(Assumptions!K$99-Project_Register!$T$12)/(Project_Register!$U$12-Project_Register!$T$12+1)))^2-2*MIN(1,MAX(0,(Assumptions!K$99-Project_Register!$T$12)/(Project_Register!$U$12-Project_Register!$T$12+1)))^3</f>
        <v>0.259259259259259</v>
      </c>
      <c r="L101" s="112" t="n">
        <f aca="false">3*MIN(1,MAX(0,(Assumptions!L$99-Project_Register!$T$12)/(Project_Register!$U$12-Project_Register!$T$12+1)))^2-2*MIN(1,MAX(0,(Assumptions!L$99-Project_Register!$T$12)/(Project_Register!$U$12-Project_Register!$T$12+1)))^3</f>
        <v>0.5</v>
      </c>
      <c r="M101" s="112" t="n">
        <f aca="false">3*MIN(1,MAX(0,(Assumptions!M$99-Project_Register!$T$12)/(Project_Register!$U$12-Project_Register!$T$12+1)))^2-2*MIN(1,MAX(0,(Assumptions!M$99-Project_Register!$T$12)/(Project_Register!$U$12-Project_Register!$T$12+1)))^3</f>
        <v>0.740740740740741</v>
      </c>
      <c r="N101" s="112" t="n">
        <f aca="false">3*MIN(1,MAX(0,(Assumptions!N$99-Project_Register!$T$12)/(Project_Register!$U$12-Project_Register!$T$12+1)))^2-2*MIN(1,MAX(0,(Assumptions!N$99-Project_Register!$T$12)/(Project_Register!$U$12-Project_Register!$T$12+1)))^3</f>
        <v>0.925925925925926</v>
      </c>
      <c r="O101" s="112" t="n">
        <f aca="false">3*MIN(1,MAX(0,(Assumptions!O$99-Project_Register!$T$12)/(Project_Register!$U$12-Project_Register!$T$12+1)))^2-2*MIN(1,MAX(0,(Assumptions!O$99-Project_Register!$T$12)/(Project_Register!$U$12-Project_Register!$T$12+1)))^3</f>
        <v>1</v>
      </c>
      <c r="P101" s="112" t="n">
        <f aca="false">3*MIN(1,MAX(0,(Assumptions!P$99-Project_Register!$T$12)/(Project_Register!$U$12-Project_Register!$T$12+1)))^2-2*MIN(1,MAX(0,(Assumptions!P$99-Project_Register!$T$12)/(Project_Register!$U$12-Project_Register!$T$12+1)))^3</f>
        <v>1</v>
      </c>
      <c r="Q101" s="112" t="n">
        <f aca="false">3*MIN(1,MAX(0,(Assumptions!Q$99-Project_Register!$T$12)/(Project_Register!$U$12-Project_Register!$T$12+1)))^2-2*MIN(1,MAX(0,(Assumptions!Q$99-Project_Register!$T$12)/(Project_Register!$U$12-Project_Register!$T$12+1)))^3</f>
        <v>1</v>
      </c>
      <c r="R101" s="112" t="n">
        <f aca="false">3*MIN(1,MAX(0,(Assumptions!R$99-Project_Register!$T$12)/(Project_Register!$U$12-Project_Register!$T$12+1)))^2-2*MIN(1,MAX(0,(Assumptions!R$99-Project_Register!$T$12)/(Project_Register!$U$12-Project_Register!$T$12+1)))^3</f>
        <v>1</v>
      </c>
      <c r="S101" s="112" t="n">
        <f aca="false">3*MIN(1,MAX(0,(Assumptions!S$99-Project_Register!$T$12)/(Project_Register!$U$12-Project_Register!$T$12+1)))^2-2*MIN(1,MAX(0,(Assumptions!S$99-Project_Register!$T$12)/(Project_Register!$U$12-Project_Register!$T$12+1)))^3</f>
        <v>1</v>
      </c>
      <c r="T101" s="112" t="n">
        <f aca="false">3*MIN(1,MAX(0,(Assumptions!T$99-Project_Register!$T$12)/(Project_Register!$U$12-Project_Register!$T$12+1)))^2-2*MIN(1,MAX(0,(Assumptions!T$99-Project_Register!$T$12)/(Project_Register!$U$12-Project_Register!$T$12+1)))^3</f>
        <v>1</v>
      </c>
      <c r="U101" s="112" t="n">
        <f aca="false">3*MIN(1,MAX(0,(Assumptions!U$99-Project_Register!$T$12)/(Project_Register!$U$12-Project_Register!$T$12+1)))^2-2*MIN(1,MAX(0,(Assumptions!U$99-Project_Register!$T$12)/(Project_Register!$U$12-Project_Register!$T$12+1)))^3</f>
        <v>1</v>
      </c>
      <c r="V101" s="112" t="n">
        <f aca="false">3*MIN(1,MAX(0,(Assumptions!V$99-Project_Register!$T$12)/(Project_Register!$U$12-Project_Register!$T$12+1)))^2-2*MIN(1,MAX(0,(Assumptions!V$99-Project_Register!$T$12)/(Project_Register!$U$12-Project_Register!$T$12+1)))^3</f>
        <v>1</v>
      </c>
      <c r="W101" s="112" t="n">
        <f aca="false">3*MIN(1,MAX(0,(Assumptions!W$99-Project_Register!$T$12)/(Project_Register!$U$12-Project_Register!$T$12+1)))^2-2*MIN(1,MAX(0,(Assumptions!W$99-Project_Register!$T$12)/(Project_Register!$U$12-Project_Register!$T$12+1)))^3</f>
        <v>1</v>
      </c>
      <c r="X101" s="112" t="n">
        <f aca="false">3*MIN(1,MAX(0,(Assumptions!X$99-Project_Register!$T$12)/(Project_Register!$U$12-Project_Register!$T$12+1)))^2-2*MIN(1,MAX(0,(Assumptions!X$99-Project_Register!$T$12)/(Project_Register!$U$12-Project_Register!$T$12+1)))^3</f>
        <v>1</v>
      </c>
      <c r="Y101" s="112" t="n">
        <f aca="false">3*MIN(1,MAX(0,(Assumptions!Y$99-Project_Register!$T$12)/(Project_Register!$U$12-Project_Register!$T$12+1)))^2-2*MIN(1,MAX(0,(Assumptions!Y$99-Project_Register!$T$12)/(Project_Register!$U$12-Project_Register!$T$12+1)))^3</f>
        <v>1</v>
      </c>
      <c r="Z101" s="112" t="n">
        <f aca="false">3*MIN(1,MAX(0,(Assumptions!Z$99-Project_Register!$T$12)/(Project_Register!$U$12-Project_Register!$T$12+1)))^2-2*MIN(1,MAX(0,(Assumptions!Z$99-Project_Register!$T$12)/(Project_Register!$U$12-Project_Register!$T$12+1)))^3</f>
        <v>1</v>
      </c>
      <c r="AA101" s="112" t="n">
        <f aca="false">3*MIN(1,MAX(0,(Assumptions!AA$99-Project_Register!$T$12)/(Project_Register!$U$12-Project_Register!$T$12+1)))^2-2*MIN(1,MAX(0,(Assumptions!AA$99-Project_Register!$T$12)/(Project_Register!$U$12-Project_Register!$T$12+1)))^3</f>
        <v>1</v>
      </c>
      <c r="AB101" s="112" t="n">
        <f aca="false">3*MIN(1,MAX(0,(Assumptions!AB$99-Project_Register!$T$12)/(Project_Register!$U$12-Project_Register!$T$12+1)))^2-2*MIN(1,MAX(0,(Assumptions!AB$99-Project_Register!$T$12)/(Project_Register!$U$12-Project_Register!$T$12+1)))^3</f>
        <v>1</v>
      </c>
    </row>
    <row r="102" customFormat="false" ht="15" hidden="false" customHeight="false" outlineLevel="0" collapsed="false">
      <c r="A102" s="28" t="s">
        <v>802</v>
      </c>
      <c r="B102" s="58" t="s">
        <v>910</v>
      </c>
      <c r="C102" s="66" t="n">
        <f aca="false">SUM(E102:P102)</f>
        <v>990</v>
      </c>
      <c r="D102" s="66" t="n">
        <f aca="false">SUM(Q102:AB102)</f>
        <v>0</v>
      </c>
      <c r="E102" s="67" t="n">
        <f aca="false">IF(E$5="A",Inputs_Actuals!E73,IF((Project_Register!$AA$12-Project_Register!$X$12)&lt;=0,0,IF(1-Project_Register!$AC$12&lt;=0.000001,IF(Assumptions!E$99=Assumptions!$C$10+1,(Project_Register!$AA$12-Project_Register!$X$12),0),(Project_Register!$AA$12-Project_Register!$X$12)*(E100-E101)/(1-Project_Register!$AC$12))))</f>
        <v>0</v>
      </c>
      <c r="F102" s="67" t="n">
        <f aca="false">IF(F$5="A",Inputs_Actuals!F73,IF((Project_Register!$AA$12-Project_Register!$X$12)&lt;=0,0,IF(1-Project_Register!$AC$12&lt;=0.000001,IF(Assumptions!F$99=Assumptions!$C$10+1,(Project_Register!$AA$12-Project_Register!$X$12),0),(Project_Register!$AA$12-Project_Register!$X$12)*(F100-F101)/(1-Project_Register!$AC$12))))</f>
        <v>0</v>
      </c>
      <c r="G102" s="67" t="n">
        <f aca="false">IF(G$5="A",Inputs_Actuals!G73,IF((Project_Register!$AA$12-Project_Register!$X$12)&lt;=0,0,IF(1-Project_Register!$AC$12&lt;=0.000001,IF(Assumptions!G$99=Assumptions!$C$10+1,(Project_Register!$AA$12-Project_Register!$X$12),0),(Project_Register!$AA$12-Project_Register!$X$12)*(G100-G101)/(1-Project_Register!$AC$12))))</f>
        <v>0</v>
      </c>
      <c r="H102" s="67" t="n">
        <f aca="false">IF(H$5="A",Inputs_Actuals!H73,IF((Project_Register!$AA$12-Project_Register!$X$12)&lt;=0,0,IF(1-Project_Register!$AC$12&lt;=0.000001,IF(Assumptions!H$99=Assumptions!$C$10+1,(Project_Register!$AA$12-Project_Register!$X$12),0),(Project_Register!$AA$12-Project_Register!$X$12)*(H100-H101)/(1-Project_Register!$AC$12))))</f>
        <v>0</v>
      </c>
      <c r="I102" s="67" t="n">
        <f aca="false">IF(I$5="A",Inputs_Actuals!I73,IF((Project_Register!$AA$12-Project_Register!$X$12)&lt;=0,0,IF(1-Project_Register!$AC$12&lt;=0.000001,IF(Assumptions!I$99=Assumptions!$C$10+1,(Project_Register!$AA$12-Project_Register!$X$12),0),(Project_Register!$AA$12-Project_Register!$X$12)*(I100-I101)/(1-Project_Register!$AC$12))))</f>
        <v>70.7</v>
      </c>
      <c r="J102" s="67" t="n">
        <f aca="false">IF(J$5="A",Inputs_Actuals!J73,IF((Project_Register!$AA$12-Project_Register!$X$12)&lt;=0,0,IF(1-Project_Register!$AC$12&lt;=0.000001,IF(Assumptions!J$99=Assumptions!$C$10+1,(Project_Register!$AA$12-Project_Register!$X$12),0),(Project_Register!$AA$12-Project_Register!$X$12)*(J100-J101)/(1-Project_Register!$AC$12))))</f>
        <v>181.2</v>
      </c>
      <c r="K102" s="67" t="n">
        <f aca="false">IF(K$5="A",Inputs_Actuals!K73,IF((Project_Register!$AA$12-Project_Register!$X$12)&lt;=0,0,IF(1-Project_Register!$AC$12&lt;=0.000001,IF(Assumptions!K$99=Assumptions!$C$10+1,(Project_Register!$AA$12-Project_Register!$X$12),0),(Project_Register!$AA$12-Project_Register!$X$12)*(K100-K101)/(1-Project_Register!$AC$12))))</f>
        <v>198.1</v>
      </c>
      <c r="L102" s="67" t="n">
        <f aca="false">IF(L$5="A",Inputs_Actuals!L73,IF((Project_Register!$AA$12-Project_Register!$X$12)&lt;=0,0,IF(1-Project_Register!$AC$12&lt;=0.000001,IF(Assumptions!L$99=Assumptions!$C$10+1,(Project_Register!$AA$12-Project_Register!$X$12),0),(Project_Register!$AA$12-Project_Register!$X$12)*(L100-L101)/(1-Project_Register!$AC$12))))</f>
        <v>271.6</v>
      </c>
      <c r="M102" s="67" t="n">
        <f aca="false">IF(M$5="A",Inputs_Actuals!M73,IF((Project_Register!$AA$12-Project_Register!$X$12)&lt;=0,0,IF(1-Project_Register!$AC$12&lt;=0.000001,IF(Assumptions!M$99=Assumptions!$C$10+1,(Project_Register!$AA$12-Project_Register!$X$12),0),(Project_Register!$AA$12-Project_Register!$X$12)*(M100-M101)/(1-Project_Register!$AC$12))))</f>
        <v>191.714285714286</v>
      </c>
      <c r="N102" s="67" t="n">
        <f aca="false">IF(N$5="A",Inputs_Actuals!N73,IF((Project_Register!$AA$12-Project_Register!$X$12)&lt;=0,0,IF(1-Project_Register!$AC$12&lt;=0.000001,IF(Assumptions!N$99=Assumptions!$C$10+1,(Project_Register!$AA$12-Project_Register!$X$12),0),(Project_Register!$AA$12-Project_Register!$X$12)*(N100-N101)/(1-Project_Register!$AC$12))))</f>
        <v>76.6857142857144</v>
      </c>
      <c r="O102" s="67" t="n">
        <f aca="false">IF(O$5="A",Inputs_Actuals!O73,IF((Project_Register!$AA$12-Project_Register!$X$12)&lt;=0,0,IF(1-Project_Register!$AC$12&lt;=0.000001,IF(Assumptions!O$99=Assumptions!$C$10+1,(Project_Register!$AA$12-Project_Register!$X$12),0),(Project_Register!$AA$12-Project_Register!$X$12)*(O100-O101)/(1-Project_Register!$AC$12))))</f>
        <v>0</v>
      </c>
      <c r="P102" s="67" t="n">
        <f aca="false">IF(P$5="A",Inputs_Actuals!P73,IF((Project_Register!$AA$12-Project_Register!$X$12)&lt;=0,0,IF(1-Project_Register!$AC$12&lt;=0.000001,IF(Assumptions!P$99=Assumptions!$C$10+1,(Project_Register!$AA$12-Project_Register!$X$12),0),(Project_Register!$AA$12-Project_Register!$X$12)*(P100-P101)/(1-Project_Register!$AC$12))))</f>
        <v>0</v>
      </c>
      <c r="Q102" s="67" t="n">
        <f aca="false">IF(Q$5="A",Inputs_Actuals!Q73,IF((Project_Register!$AA$12-Project_Register!$X$12)&lt;=0,0,IF(1-Project_Register!$AC$12&lt;=0.000001,IF(Assumptions!Q$99=Assumptions!$C$10+1,(Project_Register!$AA$12-Project_Register!$X$12),0),(Project_Register!$AA$12-Project_Register!$X$12)*(Q100-Q101)/(1-Project_Register!$AC$12))))</f>
        <v>0</v>
      </c>
      <c r="R102" s="67" t="n">
        <f aca="false">IF(R$5="A",Inputs_Actuals!R73,IF((Project_Register!$AA$12-Project_Register!$X$12)&lt;=0,0,IF(1-Project_Register!$AC$12&lt;=0.000001,IF(Assumptions!R$99=Assumptions!$C$10+1,(Project_Register!$AA$12-Project_Register!$X$12),0),(Project_Register!$AA$12-Project_Register!$X$12)*(R100-R101)/(1-Project_Register!$AC$12))))</f>
        <v>0</v>
      </c>
      <c r="S102" s="67" t="n">
        <f aca="false">IF(S$5="A",Inputs_Actuals!S73,IF((Project_Register!$AA$12-Project_Register!$X$12)&lt;=0,0,IF(1-Project_Register!$AC$12&lt;=0.000001,IF(Assumptions!S$99=Assumptions!$C$10+1,(Project_Register!$AA$12-Project_Register!$X$12),0),(Project_Register!$AA$12-Project_Register!$X$12)*(S100-S101)/(1-Project_Register!$AC$12))))</f>
        <v>0</v>
      </c>
      <c r="T102" s="67" t="n">
        <f aca="false">IF(T$5="A",Inputs_Actuals!T73,IF((Project_Register!$AA$12-Project_Register!$X$12)&lt;=0,0,IF(1-Project_Register!$AC$12&lt;=0.000001,IF(Assumptions!T$99=Assumptions!$C$10+1,(Project_Register!$AA$12-Project_Register!$X$12),0),(Project_Register!$AA$12-Project_Register!$X$12)*(T100-T101)/(1-Project_Register!$AC$12))))</f>
        <v>0</v>
      </c>
      <c r="U102" s="67" t="n">
        <f aca="false">IF(U$5="A",Inputs_Actuals!U73,IF((Project_Register!$AA$12-Project_Register!$X$12)&lt;=0,0,IF(1-Project_Register!$AC$12&lt;=0.000001,IF(Assumptions!U$99=Assumptions!$C$10+1,(Project_Register!$AA$12-Project_Register!$X$12),0),(Project_Register!$AA$12-Project_Register!$X$12)*(U100-U101)/(1-Project_Register!$AC$12))))</f>
        <v>0</v>
      </c>
      <c r="V102" s="67" t="n">
        <f aca="false">IF(V$5="A",Inputs_Actuals!V73,IF((Project_Register!$AA$12-Project_Register!$X$12)&lt;=0,0,IF(1-Project_Register!$AC$12&lt;=0.000001,IF(Assumptions!V$99=Assumptions!$C$10+1,(Project_Register!$AA$12-Project_Register!$X$12),0),(Project_Register!$AA$12-Project_Register!$X$12)*(V100-V101)/(1-Project_Register!$AC$12))))</f>
        <v>0</v>
      </c>
      <c r="W102" s="67" t="n">
        <f aca="false">IF(W$5="A",Inputs_Actuals!W73,IF((Project_Register!$AA$12-Project_Register!$X$12)&lt;=0,0,IF(1-Project_Register!$AC$12&lt;=0.000001,IF(Assumptions!W$99=Assumptions!$C$10+1,(Project_Register!$AA$12-Project_Register!$X$12),0),(Project_Register!$AA$12-Project_Register!$X$12)*(W100-W101)/(1-Project_Register!$AC$12))))</f>
        <v>0</v>
      </c>
      <c r="X102" s="67" t="n">
        <f aca="false">IF(X$5="A",Inputs_Actuals!X73,IF((Project_Register!$AA$12-Project_Register!$X$12)&lt;=0,0,IF(1-Project_Register!$AC$12&lt;=0.000001,IF(Assumptions!X$99=Assumptions!$C$10+1,(Project_Register!$AA$12-Project_Register!$X$12),0),(Project_Register!$AA$12-Project_Register!$X$12)*(X100-X101)/(1-Project_Register!$AC$12))))</f>
        <v>0</v>
      </c>
      <c r="Y102" s="67" t="n">
        <f aca="false">IF(Y$5="A",Inputs_Actuals!Y73,IF((Project_Register!$AA$12-Project_Register!$X$12)&lt;=0,0,IF(1-Project_Register!$AC$12&lt;=0.000001,IF(Assumptions!Y$99=Assumptions!$C$10+1,(Project_Register!$AA$12-Project_Register!$X$12),0),(Project_Register!$AA$12-Project_Register!$X$12)*(Y100-Y101)/(1-Project_Register!$AC$12))))</f>
        <v>0</v>
      </c>
      <c r="Z102" s="67" t="n">
        <f aca="false">IF(Z$5="A",Inputs_Actuals!Z73,IF((Project_Register!$AA$12-Project_Register!$X$12)&lt;=0,0,IF(1-Project_Register!$AC$12&lt;=0.000001,IF(Assumptions!Z$99=Assumptions!$C$10+1,(Project_Register!$AA$12-Project_Register!$X$12),0),(Project_Register!$AA$12-Project_Register!$X$12)*(Z100-Z101)/(1-Project_Register!$AC$12))))</f>
        <v>0</v>
      </c>
      <c r="AA102" s="67" t="n">
        <f aca="false">IF(AA$5="A",Inputs_Actuals!AA73,IF((Project_Register!$AA$12-Project_Register!$X$12)&lt;=0,0,IF(1-Project_Register!$AC$12&lt;=0.000001,IF(Assumptions!AA$99=Assumptions!$C$10+1,(Project_Register!$AA$12-Project_Register!$X$12),0),(Project_Register!$AA$12-Project_Register!$X$12)*(AA100-AA101)/(1-Project_Register!$AC$12))))</f>
        <v>0</v>
      </c>
      <c r="AB102" s="67" t="n">
        <f aca="false">IF(AB$5="A",Inputs_Actuals!AB73,IF((Project_Register!$AA$12-Project_Register!$X$12)&lt;=0,0,IF(1-Project_Register!$AC$12&lt;=0.000001,IF(Assumptions!AB$99=Assumptions!$C$10+1,(Project_Register!$AA$12-Project_Register!$X$12),0),(Project_Register!$AA$12-Project_Register!$X$12)*(AB100-AB101)/(1-Project_Register!$AC$12))))</f>
        <v>0</v>
      </c>
    </row>
    <row r="103" customFormat="false" ht="15" hidden="false" customHeight="false" outlineLevel="0" collapsed="false">
      <c r="A103" s="28" t="s">
        <v>911</v>
      </c>
      <c r="B103" s="58" t="s">
        <v>912</v>
      </c>
      <c r="C103" s="66" t="n">
        <f aca="false">P103</f>
        <v>990</v>
      </c>
      <c r="D103" s="66" t="n">
        <f aca="false">AB103</f>
        <v>990</v>
      </c>
      <c r="E103" s="67" t="n">
        <f aca="false">Project_Register!$P$12+E102</f>
        <v>0</v>
      </c>
      <c r="F103" s="72" t="n">
        <f aca="false">E103+F102</f>
        <v>0</v>
      </c>
      <c r="G103" s="72" t="n">
        <f aca="false">F103+G102</f>
        <v>0</v>
      </c>
      <c r="H103" s="72" t="n">
        <f aca="false">G103+H102</f>
        <v>0</v>
      </c>
      <c r="I103" s="72" t="n">
        <f aca="false">H103+I102</f>
        <v>70.7</v>
      </c>
      <c r="J103" s="72" t="n">
        <f aca="false">I103+J102</f>
        <v>251.9</v>
      </c>
      <c r="K103" s="72" t="n">
        <f aca="false">J103+K102</f>
        <v>450</v>
      </c>
      <c r="L103" s="72" t="n">
        <f aca="false">K103+L102</f>
        <v>721.6</v>
      </c>
      <c r="M103" s="72" t="n">
        <f aca="false">L103+M102</f>
        <v>913.314285714286</v>
      </c>
      <c r="N103" s="72" t="n">
        <f aca="false">M103+N102</f>
        <v>990</v>
      </c>
      <c r="O103" s="72" t="n">
        <f aca="false">N103+O102</f>
        <v>990</v>
      </c>
      <c r="P103" s="72" t="n">
        <f aca="false">O103+P102</f>
        <v>990</v>
      </c>
      <c r="Q103" s="72" t="n">
        <f aca="false">P103+Q102</f>
        <v>990</v>
      </c>
      <c r="R103" s="72" t="n">
        <f aca="false">Q103+R102</f>
        <v>990</v>
      </c>
      <c r="S103" s="72" t="n">
        <f aca="false">R103+S102</f>
        <v>990</v>
      </c>
      <c r="T103" s="72" t="n">
        <f aca="false">S103+T102</f>
        <v>990</v>
      </c>
      <c r="U103" s="72" t="n">
        <f aca="false">T103+U102</f>
        <v>990</v>
      </c>
      <c r="V103" s="72" t="n">
        <f aca="false">U103+V102</f>
        <v>990</v>
      </c>
      <c r="W103" s="72" t="n">
        <f aca="false">V103+W102</f>
        <v>990</v>
      </c>
      <c r="X103" s="72" t="n">
        <f aca="false">W103+X102</f>
        <v>990</v>
      </c>
      <c r="Y103" s="72" t="n">
        <f aca="false">X103+Y102</f>
        <v>990</v>
      </c>
      <c r="Z103" s="72" t="n">
        <f aca="false">Y103+Z102</f>
        <v>990</v>
      </c>
      <c r="AA103" s="72" t="n">
        <f aca="false">Z103+AA102</f>
        <v>990</v>
      </c>
      <c r="AB103" s="72" t="n">
        <f aca="false">AA103+AB102</f>
        <v>990</v>
      </c>
    </row>
    <row r="104" customFormat="false" ht="15" hidden="false" customHeight="false" outlineLevel="0" collapsed="false">
      <c r="A104" s="28" t="s">
        <v>913</v>
      </c>
      <c r="B104" s="58" t="s">
        <v>914</v>
      </c>
      <c r="C104" s="66" t="n">
        <f aca="false">P104</f>
        <v>990</v>
      </c>
      <c r="D104" s="66" t="n">
        <f aca="false">AB104</f>
        <v>990</v>
      </c>
      <c r="E104" s="67" t="n">
        <f aca="false">IF(E$5="A",IF(E103+N(Inputs_Actuals!E74)&lt;=0,Project_Register!$AA$12,E103+N(Inputs_Actuals!E74)),Project_Register!$AA$12)</f>
        <v>990</v>
      </c>
      <c r="F104" s="67" t="n">
        <f aca="false">IF(F$5="A",IF(F103+N(Inputs_Actuals!F74)&lt;=0,Project_Register!$AA$12,F103+N(Inputs_Actuals!F74)),Project_Register!$AA$12)</f>
        <v>990</v>
      </c>
      <c r="G104" s="67" t="n">
        <f aca="false">IF(G$5="A",IF(G103+N(Inputs_Actuals!G74)&lt;=0,Project_Register!$AA$12,G103+N(Inputs_Actuals!G74)),Project_Register!$AA$12)</f>
        <v>990</v>
      </c>
      <c r="H104" s="67" t="n">
        <f aca="false">IF(H$5="A",IF(H103+N(Inputs_Actuals!H74)&lt;=0,Project_Register!$AA$12,H103+N(Inputs_Actuals!H74)),Project_Register!$AA$12)</f>
        <v>990</v>
      </c>
      <c r="I104" s="67" t="n">
        <f aca="false">IF(I$5="A",IF(I103+N(Inputs_Actuals!I74)&lt;=0,Project_Register!$AA$12,I103+N(Inputs_Actuals!I74)),Project_Register!$AA$12)</f>
        <v>960</v>
      </c>
      <c r="J104" s="67" t="n">
        <f aca="false">IF(J$5="A",IF(J103+N(Inputs_Actuals!J74)&lt;=0,Project_Register!$AA$12,J103+N(Inputs_Actuals!J74)),Project_Register!$AA$12)</f>
        <v>960</v>
      </c>
      <c r="K104" s="67" t="n">
        <f aca="false">IF(K$5="A",IF(K103+N(Inputs_Actuals!K74)&lt;=0,Project_Register!$AA$12,K103+N(Inputs_Actuals!K74)),Project_Register!$AA$12)</f>
        <v>960</v>
      </c>
      <c r="L104" s="67" t="n">
        <f aca="false">IF(L$5="A",IF(L103+N(Inputs_Actuals!L74)&lt;=0,Project_Register!$AA$12,L103+N(Inputs_Actuals!L74)),Project_Register!$AA$12)</f>
        <v>990</v>
      </c>
      <c r="M104" s="67" t="n">
        <f aca="false">IF(M$5="A",IF(M103+N(Inputs_Actuals!M74)&lt;=0,Project_Register!$AA$12,M103+N(Inputs_Actuals!M74)),Project_Register!$AA$12)</f>
        <v>990</v>
      </c>
      <c r="N104" s="67" t="n">
        <f aca="false">IF(N$5="A",IF(N103+N(Inputs_Actuals!N74)&lt;=0,Project_Register!$AA$12,N103+N(Inputs_Actuals!N74)),Project_Register!$AA$12)</f>
        <v>990</v>
      </c>
      <c r="O104" s="67" t="n">
        <f aca="false">IF(O$5="A",IF(O103+N(Inputs_Actuals!O74)&lt;=0,Project_Register!$AA$12,O103+N(Inputs_Actuals!O74)),Project_Register!$AA$12)</f>
        <v>990</v>
      </c>
      <c r="P104" s="67" t="n">
        <f aca="false">IF(P$5="A",IF(P103+N(Inputs_Actuals!P74)&lt;=0,Project_Register!$AA$12,P103+N(Inputs_Actuals!P74)),Project_Register!$AA$12)</f>
        <v>990</v>
      </c>
      <c r="Q104" s="67" t="n">
        <f aca="false">IF(Q$5="A",IF(Q103+N(Inputs_Actuals!Q74)&lt;=0,Project_Register!$AA$12,Q103+N(Inputs_Actuals!Q74)),Project_Register!$AA$12)</f>
        <v>990</v>
      </c>
      <c r="R104" s="67" t="n">
        <f aca="false">IF(R$5="A",IF(R103+N(Inputs_Actuals!R74)&lt;=0,Project_Register!$AA$12,R103+N(Inputs_Actuals!R74)),Project_Register!$AA$12)</f>
        <v>990</v>
      </c>
      <c r="S104" s="67" t="n">
        <f aca="false">IF(S$5="A",IF(S103+N(Inputs_Actuals!S74)&lt;=0,Project_Register!$AA$12,S103+N(Inputs_Actuals!S74)),Project_Register!$AA$12)</f>
        <v>990</v>
      </c>
      <c r="T104" s="67" t="n">
        <f aca="false">IF(T$5="A",IF(T103+N(Inputs_Actuals!T74)&lt;=0,Project_Register!$AA$12,T103+N(Inputs_Actuals!T74)),Project_Register!$AA$12)</f>
        <v>990</v>
      </c>
      <c r="U104" s="67" t="n">
        <f aca="false">IF(U$5="A",IF(U103+N(Inputs_Actuals!U74)&lt;=0,Project_Register!$AA$12,U103+N(Inputs_Actuals!U74)),Project_Register!$AA$12)</f>
        <v>990</v>
      </c>
      <c r="V104" s="67" t="n">
        <f aca="false">IF(V$5="A",IF(V103+N(Inputs_Actuals!V74)&lt;=0,Project_Register!$AA$12,V103+N(Inputs_Actuals!V74)),Project_Register!$AA$12)</f>
        <v>990</v>
      </c>
      <c r="W104" s="67" t="n">
        <f aca="false">IF(W$5="A",IF(W103+N(Inputs_Actuals!W74)&lt;=0,Project_Register!$AA$12,W103+N(Inputs_Actuals!W74)),Project_Register!$AA$12)</f>
        <v>990</v>
      </c>
      <c r="X104" s="67" t="n">
        <f aca="false">IF(X$5="A",IF(X103+N(Inputs_Actuals!X74)&lt;=0,Project_Register!$AA$12,X103+N(Inputs_Actuals!X74)),Project_Register!$AA$12)</f>
        <v>990</v>
      </c>
      <c r="Y104" s="67" t="n">
        <f aca="false">IF(Y$5="A",IF(Y103+N(Inputs_Actuals!Y74)&lt;=0,Project_Register!$AA$12,Y103+N(Inputs_Actuals!Y74)),Project_Register!$AA$12)</f>
        <v>990</v>
      </c>
      <c r="Z104" s="67" t="n">
        <f aca="false">IF(Z$5="A",IF(Z103+N(Inputs_Actuals!Z74)&lt;=0,Project_Register!$AA$12,Z103+N(Inputs_Actuals!Z74)),Project_Register!$AA$12)</f>
        <v>990</v>
      </c>
      <c r="AA104" s="67" t="n">
        <f aca="false">IF(AA$5="A",IF(AA103+N(Inputs_Actuals!AA74)&lt;=0,Project_Register!$AA$12,AA103+N(Inputs_Actuals!AA74)),Project_Register!$AA$12)</f>
        <v>990</v>
      </c>
      <c r="AB104" s="67" t="n">
        <f aca="false">IF(AB$5="A",IF(AB103+N(Inputs_Actuals!AB74)&lt;=0,Project_Register!$AA$12,AB103+N(Inputs_Actuals!AB74)),Project_Register!$AA$12)</f>
        <v>990</v>
      </c>
    </row>
    <row r="105" customFormat="false" ht="15" hidden="false" customHeight="false" outlineLevel="0" collapsed="false">
      <c r="A105" s="28" t="s">
        <v>915</v>
      </c>
      <c r="B105" s="58" t="s">
        <v>916</v>
      </c>
      <c r="C105" s="61" t="n">
        <f aca="false">P105</f>
        <v>1</v>
      </c>
      <c r="D105" s="61" t="n">
        <f aca="false">AB105</f>
        <v>1</v>
      </c>
      <c r="E105" s="62" t="n">
        <f aca="false">IF(E104&lt;=0,0,MIN(1,E103/E104))</f>
        <v>0</v>
      </c>
      <c r="F105" s="62" t="n">
        <f aca="false">IF(F104&lt;=0,0,MIN(1,F103/F104))</f>
        <v>0</v>
      </c>
      <c r="G105" s="62" t="n">
        <f aca="false">IF(G104&lt;=0,0,MIN(1,G103/G104))</f>
        <v>0</v>
      </c>
      <c r="H105" s="62" t="n">
        <f aca="false">IF(H104&lt;=0,0,MIN(1,H103/H104))</f>
        <v>0</v>
      </c>
      <c r="I105" s="62" t="n">
        <f aca="false">IF(I104&lt;=0,0,MIN(1,I103/I104))</f>
        <v>0.0736458333333333</v>
      </c>
      <c r="J105" s="62" t="n">
        <f aca="false">IF(J104&lt;=0,0,MIN(1,J103/J104))</f>
        <v>0.262395833333333</v>
      </c>
      <c r="K105" s="62" t="n">
        <f aca="false">IF(K104&lt;=0,0,MIN(1,K103/K104))</f>
        <v>0.46875</v>
      </c>
      <c r="L105" s="62" t="n">
        <f aca="false">IF(L104&lt;=0,0,MIN(1,L103/L104))</f>
        <v>0.728888888888889</v>
      </c>
      <c r="M105" s="62" t="n">
        <f aca="false">IF(M104&lt;=0,0,MIN(1,M103/M104))</f>
        <v>0.922539682539682</v>
      </c>
      <c r="N105" s="62" t="n">
        <f aca="false">IF(N104&lt;=0,0,MIN(1,N103/N104))</f>
        <v>1</v>
      </c>
      <c r="O105" s="62" t="n">
        <f aca="false">IF(O104&lt;=0,0,MIN(1,O103/O104))</f>
        <v>1</v>
      </c>
      <c r="P105" s="62" t="n">
        <f aca="false">IF(P104&lt;=0,0,MIN(1,P103/P104))</f>
        <v>1</v>
      </c>
      <c r="Q105" s="62" t="n">
        <f aca="false">IF(Q104&lt;=0,0,MIN(1,Q103/Q104))</f>
        <v>1</v>
      </c>
      <c r="R105" s="62" t="n">
        <f aca="false">IF(R104&lt;=0,0,MIN(1,R103/R104))</f>
        <v>1</v>
      </c>
      <c r="S105" s="62" t="n">
        <f aca="false">IF(S104&lt;=0,0,MIN(1,S103/S104))</f>
        <v>1</v>
      </c>
      <c r="T105" s="62" t="n">
        <f aca="false">IF(T104&lt;=0,0,MIN(1,T103/T104))</f>
        <v>1</v>
      </c>
      <c r="U105" s="62" t="n">
        <f aca="false">IF(U104&lt;=0,0,MIN(1,U103/U104))</f>
        <v>1</v>
      </c>
      <c r="V105" s="62" t="n">
        <f aca="false">IF(V104&lt;=0,0,MIN(1,V103/V104))</f>
        <v>1</v>
      </c>
      <c r="W105" s="62" t="n">
        <f aca="false">IF(W104&lt;=0,0,MIN(1,W103/W104))</f>
        <v>1</v>
      </c>
      <c r="X105" s="62" t="n">
        <f aca="false">IF(X104&lt;=0,0,MIN(1,X103/X104))</f>
        <v>1</v>
      </c>
      <c r="Y105" s="62" t="n">
        <f aca="false">IF(Y104&lt;=0,0,MIN(1,Y103/Y104))</f>
        <v>1</v>
      </c>
      <c r="Z105" s="62" t="n">
        <f aca="false">IF(Z104&lt;=0,0,MIN(1,Z103/Z104))</f>
        <v>1</v>
      </c>
      <c r="AA105" s="62" t="n">
        <f aca="false">IF(AA104&lt;=0,0,MIN(1,AA103/AA104))</f>
        <v>1</v>
      </c>
      <c r="AB105" s="62" t="n">
        <f aca="false">IF(AB104&lt;=0,0,MIN(1,AB103/AB104))</f>
        <v>1</v>
      </c>
    </row>
    <row r="106" customFormat="false" ht="15" hidden="false" customHeight="false" outlineLevel="0" collapsed="false">
      <c r="A106" s="28" t="s">
        <v>917</v>
      </c>
      <c r="B106" s="58" t="s">
        <v>918</v>
      </c>
      <c r="C106" s="59" t="n">
        <f aca="false">P106</f>
        <v>96000</v>
      </c>
      <c r="D106" s="59" t="n">
        <f aca="false">AB106</f>
        <v>96000</v>
      </c>
      <c r="E106" s="60" t="n">
        <f aca="false">IF(E$5="A",N(Inputs_Actuals!E75),Project_Register!$W$12)</f>
        <v>0</v>
      </c>
      <c r="F106" s="60" t="n">
        <f aca="false">IF(F$5="A",N(Inputs_Actuals!F75),Project_Register!$W$12)</f>
        <v>0</v>
      </c>
      <c r="G106" s="60" t="n">
        <f aca="false">IF(G$5="A",N(Inputs_Actuals!G75),Project_Register!$W$12)</f>
        <v>0</v>
      </c>
      <c r="H106" s="60" t="n">
        <f aca="false">IF(H$5="A",N(Inputs_Actuals!H75),Project_Register!$W$12)</f>
        <v>0</v>
      </c>
      <c r="I106" s="60" t="n">
        <f aca="false">IF(I$5="A",N(Inputs_Actuals!I75),Project_Register!$W$12)</f>
        <v>96000</v>
      </c>
      <c r="J106" s="60" t="n">
        <f aca="false">IF(J$5="A",N(Inputs_Actuals!J75),Project_Register!$W$12)</f>
        <v>96000</v>
      </c>
      <c r="K106" s="60" t="n">
        <f aca="false">IF(K$5="A",N(Inputs_Actuals!K75),Project_Register!$W$12)</f>
        <v>96000</v>
      </c>
      <c r="L106" s="60" t="n">
        <f aca="false">IF(L$5="A",N(Inputs_Actuals!L75),Project_Register!$W$12)</f>
        <v>96000</v>
      </c>
      <c r="M106" s="60" t="n">
        <f aca="false">IF(M$5="A",N(Inputs_Actuals!M75),Project_Register!$W$12)</f>
        <v>96000</v>
      </c>
      <c r="N106" s="60" t="n">
        <f aca="false">IF(N$5="A",N(Inputs_Actuals!N75),Project_Register!$W$12)</f>
        <v>96000</v>
      </c>
      <c r="O106" s="60" t="n">
        <f aca="false">IF(O$5="A",N(Inputs_Actuals!O75),Project_Register!$W$12)</f>
        <v>96000</v>
      </c>
      <c r="P106" s="60" t="n">
        <f aca="false">IF(P$5="A",N(Inputs_Actuals!P75),Project_Register!$W$12)</f>
        <v>96000</v>
      </c>
      <c r="Q106" s="60" t="n">
        <f aca="false">IF(Q$5="A",N(Inputs_Actuals!Q75),Project_Register!$W$12)</f>
        <v>96000</v>
      </c>
      <c r="R106" s="60" t="n">
        <f aca="false">IF(R$5="A",N(Inputs_Actuals!R75),Project_Register!$W$12)</f>
        <v>96000</v>
      </c>
      <c r="S106" s="60" t="n">
        <f aca="false">IF(S$5="A",N(Inputs_Actuals!S75),Project_Register!$W$12)</f>
        <v>96000</v>
      </c>
      <c r="T106" s="60" t="n">
        <f aca="false">IF(T$5="A",N(Inputs_Actuals!T75),Project_Register!$W$12)</f>
        <v>96000</v>
      </c>
      <c r="U106" s="60" t="n">
        <f aca="false">IF(U$5="A",N(Inputs_Actuals!U75),Project_Register!$W$12)</f>
        <v>96000</v>
      </c>
      <c r="V106" s="60" t="n">
        <f aca="false">IF(V$5="A",N(Inputs_Actuals!V75),Project_Register!$W$12)</f>
        <v>96000</v>
      </c>
      <c r="W106" s="60" t="n">
        <f aca="false">IF(W$5="A",N(Inputs_Actuals!W75),Project_Register!$W$12)</f>
        <v>96000</v>
      </c>
      <c r="X106" s="60" t="n">
        <f aca="false">IF(X$5="A",N(Inputs_Actuals!X75),Project_Register!$W$12)</f>
        <v>96000</v>
      </c>
      <c r="Y106" s="60" t="n">
        <f aca="false">IF(Y$5="A",N(Inputs_Actuals!Y75),Project_Register!$W$12)</f>
        <v>96000</v>
      </c>
      <c r="Z106" s="60" t="n">
        <f aca="false">IF(Z$5="A",N(Inputs_Actuals!Z75),Project_Register!$W$12)</f>
        <v>96000</v>
      </c>
      <c r="AA106" s="60" t="n">
        <f aca="false">IF(AA$5="A",N(Inputs_Actuals!AA75),Project_Register!$W$12)</f>
        <v>96000</v>
      </c>
      <c r="AB106" s="60" t="n">
        <f aca="false">IF(AB$5="A",N(Inputs_Actuals!AB75),Project_Register!$W$12)</f>
        <v>96000</v>
      </c>
    </row>
    <row r="107" customFormat="false" ht="15" hidden="false" customHeight="false" outlineLevel="0" collapsed="false">
      <c r="A107" s="28" t="s">
        <v>919</v>
      </c>
      <c r="B107" s="58" t="s">
        <v>920</v>
      </c>
      <c r="C107" s="59" t="n">
        <f aca="false">P107</f>
        <v>96000</v>
      </c>
      <c r="D107" s="59" t="n">
        <f aca="false">AB107</f>
        <v>96000</v>
      </c>
      <c r="E107" s="60" t="n">
        <f aca="false">IF(E$5="A",Project_Register!$Q$12+Inputs_Actuals!E76,E105*E106)</f>
        <v>0</v>
      </c>
      <c r="F107" s="60" t="n">
        <f aca="false">IF(F$5="A",E107+Inputs_Actuals!F76,F105*F106)</f>
        <v>0</v>
      </c>
      <c r="G107" s="60" t="n">
        <f aca="false">IF(G$5="A",F107+Inputs_Actuals!G76,G105*G106)</f>
        <v>0</v>
      </c>
      <c r="H107" s="60" t="n">
        <f aca="false">IF(H$5="A",G107+Inputs_Actuals!H76,H105*H106)</f>
        <v>0</v>
      </c>
      <c r="I107" s="60" t="n">
        <f aca="false">IF(I$5="A",H107+Inputs_Actuals!I76,I105*I106)</f>
        <v>7070</v>
      </c>
      <c r="J107" s="60" t="n">
        <f aca="false">IF(J$5="A",I107+Inputs_Actuals!J76,J105*J106)</f>
        <v>25190</v>
      </c>
      <c r="K107" s="60" t="n">
        <f aca="false">IF(K$5="A",J107+Inputs_Actuals!K76,K105*K106)</f>
        <v>45000</v>
      </c>
      <c r="L107" s="60" t="n">
        <f aca="false">IF(L$5="A",K107+Inputs_Actuals!L76,L105*L106)</f>
        <v>69973.33</v>
      </c>
      <c r="M107" s="60" t="n">
        <f aca="false">IF(M$5="A",L107+Inputs_Actuals!M76,M105*M106)</f>
        <v>88563.8095238095</v>
      </c>
      <c r="N107" s="60" t="n">
        <f aca="false">IF(N$5="A",M107+Inputs_Actuals!N76,N105*N106)</f>
        <v>96000</v>
      </c>
      <c r="O107" s="60" t="n">
        <f aca="false">IF(O$5="A",N107+Inputs_Actuals!O76,O105*O106)</f>
        <v>96000</v>
      </c>
      <c r="P107" s="60" t="n">
        <f aca="false">IF(P$5="A",O107+Inputs_Actuals!P76,P105*P106)</f>
        <v>96000</v>
      </c>
      <c r="Q107" s="60" t="n">
        <f aca="false">IF(Q$5="A",P107+Inputs_Actuals!Q76,Q105*Q106)</f>
        <v>96000</v>
      </c>
      <c r="R107" s="60" t="n">
        <f aca="false">IF(R$5="A",Q107+Inputs_Actuals!R76,R105*R106)</f>
        <v>96000</v>
      </c>
      <c r="S107" s="60" t="n">
        <f aca="false">IF(S$5="A",R107+Inputs_Actuals!S76,S105*S106)</f>
        <v>96000</v>
      </c>
      <c r="T107" s="60" t="n">
        <f aca="false">IF(T$5="A",S107+Inputs_Actuals!T76,T105*T106)</f>
        <v>96000</v>
      </c>
      <c r="U107" s="60" t="n">
        <f aca="false">IF(U$5="A",T107+Inputs_Actuals!U76,U105*U106)</f>
        <v>96000</v>
      </c>
      <c r="V107" s="60" t="n">
        <f aca="false">IF(V$5="A",U107+Inputs_Actuals!V76,V105*V106)</f>
        <v>96000</v>
      </c>
      <c r="W107" s="60" t="n">
        <f aca="false">IF(W$5="A",V107+Inputs_Actuals!W76,W105*W106)</f>
        <v>96000</v>
      </c>
      <c r="X107" s="60" t="n">
        <f aca="false">IF(X$5="A",W107+Inputs_Actuals!X76,X105*X106)</f>
        <v>96000</v>
      </c>
      <c r="Y107" s="60" t="n">
        <f aca="false">IF(Y$5="A",X107+Inputs_Actuals!Y76,Y105*Y106)</f>
        <v>96000</v>
      </c>
      <c r="Z107" s="60" t="n">
        <f aca="false">IF(Z$5="A",Y107+Inputs_Actuals!Z76,Z105*Z106)</f>
        <v>96000</v>
      </c>
      <c r="AA107" s="60" t="n">
        <f aca="false">IF(AA$5="A",Z107+Inputs_Actuals!AA76,AA105*AA106)</f>
        <v>96000</v>
      </c>
      <c r="AB107" s="60" t="n">
        <f aca="false">IF(AB$5="A",AA107+Inputs_Actuals!AB76,AB105*AB106)</f>
        <v>96000</v>
      </c>
    </row>
    <row r="108" customFormat="false" ht="15" hidden="false" customHeight="false" outlineLevel="0" collapsed="false">
      <c r="A108" s="68" t="s">
        <v>921</v>
      </c>
      <c r="B108" s="69" t="s">
        <v>922</v>
      </c>
      <c r="C108" s="70" t="n">
        <f aca="false">SUM(E108:P108)</f>
        <v>96000</v>
      </c>
      <c r="D108" s="70" t="n">
        <f aca="false">SUM(Q108:AB108)</f>
        <v>0</v>
      </c>
      <c r="E108" s="74" t="n">
        <f aca="false">E107-Project_Register!$Q$12</f>
        <v>0</v>
      </c>
      <c r="F108" s="70" t="n">
        <f aca="false">F107-E107</f>
        <v>0</v>
      </c>
      <c r="G108" s="70" t="n">
        <f aca="false">G107-F107</f>
        <v>0</v>
      </c>
      <c r="H108" s="70" t="n">
        <f aca="false">H107-G107</f>
        <v>0</v>
      </c>
      <c r="I108" s="70" t="n">
        <f aca="false">I107-H107</f>
        <v>7070</v>
      </c>
      <c r="J108" s="70" t="n">
        <f aca="false">J107-I107</f>
        <v>18120</v>
      </c>
      <c r="K108" s="70" t="n">
        <f aca="false">K107-J107</f>
        <v>19810</v>
      </c>
      <c r="L108" s="70" t="n">
        <f aca="false">L107-K107</f>
        <v>24973.33</v>
      </c>
      <c r="M108" s="70" t="n">
        <f aca="false">M107-L107</f>
        <v>18590.4795238095</v>
      </c>
      <c r="N108" s="70" t="n">
        <f aca="false">N107-M107</f>
        <v>7436.19047619049</v>
      </c>
      <c r="O108" s="70" t="n">
        <f aca="false">O107-N107</f>
        <v>0</v>
      </c>
      <c r="P108" s="70" t="n">
        <f aca="false">P107-O107</f>
        <v>0</v>
      </c>
      <c r="Q108" s="70" t="n">
        <f aca="false">Q107-P107</f>
        <v>0</v>
      </c>
      <c r="R108" s="70" t="n">
        <f aca="false">R107-Q107</f>
        <v>0</v>
      </c>
      <c r="S108" s="70" t="n">
        <f aca="false">S107-R107</f>
        <v>0</v>
      </c>
      <c r="T108" s="70" t="n">
        <f aca="false">T107-S107</f>
        <v>0</v>
      </c>
      <c r="U108" s="70" t="n">
        <f aca="false">U107-T107</f>
        <v>0</v>
      </c>
      <c r="V108" s="70" t="n">
        <f aca="false">V107-U107</f>
        <v>0</v>
      </c>
      <c r="W108" s="70" t="n">
        <f aca="false">W107-V107</f>
        <v>0</v>
      </c>
      <c r="X108" s="70" t="n">
        <f aca="false">X107-W107</f>
        <v>0</v>
      </c>
      <c r="Y108" s="70" t="n">
        <f aca="false">Y107-X107</f>
        <v>0</v>
      </c>
      <c r="Z108" s="70" t="n">
        <f aca="false">Z107-Y107</f>
        <v>0</v>
      </c>
      <c r="AA108" s="70" t="n">
        <f aca="false">AA107-Z107</f>
        <v>0</v>
      </c>
      <c r="AB108" s="70" t="n">
        <f aca="false">AB107-AA107</f>
        <v>0</v>
      </c>
    </row>
    <row r="109" customFormat="false" ht="15" hidden="false" customHeight="false" outlineLevel="0" collapsed="false">
      <c r="A109" s="28" t="s">
        <v>923</v>
      </c>
      <c r="B109" s="58" t="s">
        <v>924</v>
      </c>
      <c r="C109" s="59" t="n">
        <f aca="false">P109</f>
        <v>96000</v>
      </c>
      <c r="D109" s="59" t="n">
        <f aca="false">AB109</f>
        <v>96000</v>
      </c>
      <c r="E109" s="60" t="n">
        <f aca="false">E106*(Assumptions!$C$71*(Assumptions!E$99&gt;=Project_Register!$T$12)+Assumptions!$C$72*(Assumptions!E$99&gt;=Project_Register!$V$12)+Assumptions!$C$73*(Assumptions!E$99&gt;=Project_Register!$U$12))</f>
        <v>0</v>
      </c>
      <c r="F109" s="60" t="n">
        <f aca="false">F106*(Assumptions!$C$71*(Assumptions!F$99&gt;=Project_Register!$T$12)+Assumptions!$C$72*(Assumptions!F$99&gt;=Project_Register!$V$12)+Assumptions!$C$73*(Assumptions!F$99&gt;=Project_Register!$U$12))</f>
        <v>0</v>
      </c>
      <c r="G109" s="60" t="n">
        <f aca="false">G106*(Assumptions!$C$71*(Assumptions!G$99&gt;=Project_Register!$T$12)+Assumptions!$C$72*(Assumptions!G$99&gt;=Project_Register!$V$12)+Assumptions!$C$73*(Assumptions!G$99&gt;=Project_Register!$U$12))</f>
        <v>0</v>
      </c>
      <c r="H109" s="60" t="n">
        <f aca="false">H106*(Assumptions!$C$71*(Assumptions!H$99&gt;=Project_Register!$T$12)+Assumptions!$C$72*(Assumptions!H$99&gt;=Project_Register!$V$12)+Assumptions!$C$73*(Assumptions!H$99&gt;=Project_Register!$U$12))</f>
        <v>0</v>
      </c>
      <c r="I109" s="60" t="n">
        <f aca="false">I106*(Assumptions!$C$71*(Assumptions!I$99&gt;=Project_Register!$T$12)+Assumptions!$C$72*(Assumptions!I$99&gt;=Project_Register!$V$12)+Assumptions!$C$73*(Assumptions!I$99&gt;=Project_Register!$U$12))</f>
        <v>28800</v>
      </c>
      <c r="J109" s="60" t="n">
        <f aca="false">J106*(Assumptions!$C$71*(Assumptions!J$99&gt;=Project_Register!$T$12)+Assumptions!$C$72*(Assumptions!J$99&gt;=Project_Register!$V$12)+Assumptions!$C$73*(Assumptions!J$99&gt;=Project_Register!$U$12))</f>
        <v>28800</v>
      </c>
      <c r="K109" s="60" t="n">
        <f aca="false">K106*(Assumptions!$C$71*(Assumptions!K$99&gt;=Project_Register!$T$12)+Assumptions!$C$72*(Assumptions!K$99&gt;=Project_Register!$V$12)+Assumptions!$C$73*(Assumptions!K$99&gt;=Project_Register!$U$12))</f>
        <v>28800</v>
      </c>
      <c r="L109" s="60" t="n">
        <f aca="false">L106*(Assumptions!$C$71*(Assumptions!L$99&gt;=Project_Register!$T$12)+Assumptions!$C$72*(Assumptions!L$99&gt;=Project_Register!$V$12)+Assumptions!$C$73*(Assumptions!L$99&gt;=Project_Register!$U$12))</f>
        <v>67200</v>
      </c>
      <c r="M109" s="60" t="n">
        <f aca="false">M106*(Assumptions!$C$71*(Assumptions!M$99&gt;=Project_Register!$T$12)+Assumptions!$C$72*(Assumptions!M$99&gt;=Project_Register!$V$12)+Assumptions!$C$73*(Assumptions!M$99&gt;=Project_Register!$U$12))</f>
        <v>67200</v>
      </c>
      <c r="N109" s="60" t="n">
        <f aca="false">N106*(Assumptions!$C$71*(Assumptions!N$99&gt;=Project_Register!$T$12)+Assumptions!$C$72*(Assumptions!N$99&gt;=Project_Register!$V$12)+Assumptions!$C$73*(Assumptions!N$99&gt;=Project_Register!$U$12))</f>
        <v>96000</v>
      </c>
      <c r="O109" s="60" t="n">
        <f aca="false">O106*(Assumptions!$C$71*(Assumptions!O$99&gt;=Project_Register!$T$12)+Assumptions!$C$72*(Assumptions!O$99&gt;=Project_Register!$V$12)+Assumptions!$C$73*(Assumptions!O$99&gt;=Project_Register!$U$12))</f>
        <v>96000</v>
      </c>
      <c r="P109" s="60" t="n">
        <f aca="false">P106*(Assumptions!$C$71*(Assumptions!P$99&gt;=Project_Register!$T$12)+Assumptions!$C$72*(Assumptions!P$99&gt;=Project_Register!$V$12)+Assumptions!$C$73*(Assumptions!P$99&gt;=Project_Register!$U$12))</f>
        <v>96000</v>
      </c>
      <c r="Q109" s="60" t="n">
        <f aca="false">Q106*(Assumptions!$C$71*(Assumptions!Q$99&gt;=Project_Register!$T$12)+Assumptions!$C$72*(Assumptions!Q$99&gt;=Project_Register!$V$12)+Assumptions!$C$73*(Assumptions!Q$99&gt;=Project_Register!$U$12))</f>
        <v>96000</v>
      </c>
      <c r="R109" s="60" t="n">
        <f aca="false">R106*(Assumptions!$C$71*(Assumptions!R$99&gt;=Project_Register!$T$12)+Assumptions!$C$72*(Assumptions!R$99&gt;=Project_Register!$V$12)+Assumptions!$C$73*(Assumptions!R$99&gt;=Project_Register!$U$12))</f>
        <v>96000</v>
      </c>
      <c r="S109" s="60" t="n">
        <f aca="false">S106*(Assumptions!$C$71*(Assumptions!S$99&gt;=Project_Register!$T$12)+Assumptions!$C$72*(Assumptions!S$99&gt;=Project_Register!$V$12)+Assumptions!$C$73*(Assumptions!S$99&gt;=Project_Register!$U$12))</f>
        <v>96000</v>
      </c>
      <c r="T109" s="60" t="n">
        <f aca="false">T106*(Assumptions!$C$71*(Assumptions!T$99&gt;=Project_Register!$T$12)+Assumptions!$C$72*(Assumptions!T$99&gt;=Project_Register!$V$12)+Assumptions!$C$73*(Assumptions!T$99&gt;=Project_Register!$U$12))</f>
        <v>96000</v>
      </c>
      <c r="U109" s="60" t="n">
        <f aca="false">U106*(Assumptions!$C$71*(Assumptions!U$99&gt;=Project_Register!$T$12)+Assumptions!$C$72*(Assumptions!U$99&gt;=Project_Register!$V$12)+Assumptions!$C$73*(Assumptions!U$99&gt;=Project_Register!$U$12))</f>
        <v>96000</v>
      </c>
      <c r="V109" s="60" t="n">
        <f aca="false">V106*(Assumptions!$C$71*(Assumptions!V$99&gt;=Project_Register!$T$12)+Assumptions!$C$72*(Assumptions!V$99&gt;=Project_Register!$V$12)+Assumptions!$C$73*(Assumptions!V$99&gt;=Project_Register!$U$12))</f>
        <v>96000</v>
      </c>
      <c r="W109" s="60" t="n">
        <f aca="false">W106*(Assumptions!$C$71*(Assumptions!W$99&gt;=Project_Register!$T$12)+Assumptions!$C$72*(Assumptions!W$99&gt;=Project_Register!$V$12)+Assumptions!$C$73*(Assumptions!W$99&gt;=Project_Register!$U$12))</f>
        <v>96000</v>
      </c>
      <c r="X109" s="60" t="n">
        <f aca="false">X106*(Assumptions!$C$71*(Assumptions!X$99&gt;=Project_Register!$T$12)+Assumptions!$C$72*(Assumptions!X$99&gt;=Project_Register!$V$12)+Assumptions!$C$73*(Assumptions!X$99&gt;=Project_Register!$U$12))</f>
        <v>96000</v>
      </c>
      <c r="Y109" s="60" t="n">
        <f aca="false">Y106*(Assumptions!$C$71*(Assumptions!Y$99&gt;=Project_Register!$T$12)+Assumptions!$C$72*(Assumptions!Y$99&gt;=Project_Register!$V$12)+Assumptions!$C$73*(Assumptions!Y$99&gt;=Project_Register!$U$12))</f>
        <v>96000</v>
      </c>
      <c r="Z109" s="60" t="n">
        <f aca="false">Z106*(Assumptions!$C$71*(Assumptions!Z$99&gt;=Project_Register!$T$12)+Assumptions!$C$72*(Assumptions!Z$99&gt;=Project_Register!$V$12)+Assumptions!$C$73*(Assumptions!Z$99&gt;=Project_Register!$U$12))</f>
        <v>96000</v>
      </c>
      <c r="AA109" s="60" t="n">
        <f aca="false">AA106*(Assumptions!$C$71*(Assumptions!AA$99&gt;=Project_Register!$T$12)+Assumptions!$C$72*(Assumptions!AA$99&gt;=Project_Register!$V$12)+Assumptions!$C$73*(Assumptions!AA$99&gt;=Project_Register!$U$12))</f>
        <v>96000</v>
      </c>
      <c r="AB109" s="60" t="n">
        <f aca="false">AB106*(Assumptions!$C$71*(Assumptions!AB$99&gt;=Project_Register!$T$12)+Assumptions!$C$72*(Assumptions!AB$99&gt;=Project_Register!$V$12)+Assumptions!$C$73*(Assumptions!AB$99&gt;=Project_Register!$U$12))</f>
        <v>96000</v>
      </c>
    </row>
    <row r="110" customFormat="false" ht="15" hidden="false" customHeight="false" outlineLevel="0" collapsed="false">
      <c r="A110" s="28" t="s">
        <v>925</v>
      </c>
      <c r="B110" s="58" t="s">
        <v>926</v>
      </c>
      <c r="C110" s="59" t="n">
        <f aca="false">SUM(E110:P110)</f>
        <v>96000</v>
      </c>
      <c r="D110" s="59" t="n">
        <f aca="false">SUM(Q110:AB110)</f>
        <v>0</v>
      </c>
      <c r="E110" s="60" t="n">
        <f aca="false">IF(E$5="A",Inputs_Actuals!E77,MAX(0,E109-Project_Register!$R$12))</f>
        <v>0</v>
      </c>
      <c r="F110" s="60" t="n">
        <f aca="false">IF(F$5="A",Inputs_Actuals!F77,MAX(0,F109-E111))</f>
        <v>0</v>
      </c>
      <c r="G110" s="60" t="n">
        <f aca="false">IF(G$5="A",Inputs_Actuals!G77,MAX(0,G109-F111))</f>
        <v>0</v>
      </c>
      <c r="H110" s="60" t="n">
        <f aca="false">IF(H$5="A",Inputs_Actuals!H77,MAX(0,H109-G111))</f>
        <v>0</v>
      </c>
      <c r="I110" s="60" t="n">
        <f aca="false">IF(I$5="A",Inputs_Actuals!I77,MAX(0,I109-H111))</f>
        <v>28800</v>
      </c>
      <c r="J110" s="60" t="n">
        <f aca="false">IF(J$5="A",Inputs_Actuals!J77,MAX(0,J109-I111))</f>
        <v>0</v>
      </c>
      <c r="K110" s="60" t="n">
        <f aca="false">IF(K$5="A",Inputs_Actuals!K77,MAX(0,K109-J111))</f>
        <v>0</v>
      </c>
      <c r="L110" s="60" t="n">
        <f aca="false">IF(L$5="A",Inputs_Actuals!L77,MAX(0,L109-K111))</f>
        <v>38400</v>
      </c>
      <c r="M110" s="60" t="n">
        <f aca="false">IF(M$5="A",Inputs_Actuals!M77,MAX(0,M109-L111))</f>
        <v>0</v>
      </c>
      <c r="N110" s="60" t="n">
        <f aca="false">IF(N$5="A",Inputs_Actuals!N77,MAX(0,N109-M111))</f>
        <v>28800</v>
      </c>
      <c r="O110" s="60" t="n">
        <f aca="false">IF(O$5="A",Inputs_Actuals!O77,MAX(0,O109-N111))</f>
        <v>0</v>
      </c>
      <c r="P110" s="60" t="n">
        <f aca="false">IF(P$5="A",Inputs_Actuals!P77,MAX(0,P109-O111))</f>
        <v>0</v>
      </c>
      <c r="Q110" s="60" t="n">
        <f aca="false">IF(Q$5="A",Inputs_Actuals!Q77,MAX(0,Q109-P111))</f>
        <v>0</v>
      </c>
      <c r="R110" s="60" t="n">
        <f aca="false">IF(R$5="A",Inputs_Actuals!R77,MAX(0,R109-Q111))</f>
        <v>0</v>
      </c>
      <c r="S110" s="60" t="n">
        <f aca="false">IF(S$5="A",Inputs_Actuals!S77,MAX(0,S109-R111))</f>
        <v>0</v>
      </c>
      <c r="T110" s="60" t="n">
        <f aca="false">IF(T$5="A",Inputs_Actuals!T77,MAX(0,T109-S111))</f>
        <v>0</v>
      </c>
      <c r="U110" s="60" t="n">
        <f aca="false">IF(U$5="A",Inputs_Actuals!U77,MAX(0,U109-T111))</f>
        <v>0</v>
      </c>
      <c r="V110" s="60" t="n">
        <f aca="false">IF(V$5="A",Inputs_Actuals!V77,MAX(0,V109-U111))</f>
        <v>0</v>
      </c>
      <c r="W110" s="60" t="n">
        <f aca="false">IF(W$5="A",Inputs_Actuals!W77,MAX(0,W109-V111))</f>
        <v>0</v>
      </c>
      <c r="X110" s="60" t="n">
        <f aca="false">IF(X$5="A",Inputs_Actuals!X77,MAX(0,X109-W111))</f>
        <v>0</v>
      </c>
      <c r="Y110" s="60" t="n">
        <f aca="false">IF(Y$5="A",Inputs_Actuals!Y77,MAX(0,Y109-X111))</f>
        <v>0</v>
      </c>
      <c r="Z110" s="60" t="n">
        <f aca="false">IF(Z$5="A",Inputs_Actuals!Z77,MAX(0,Z109-Y111))</f>
        <v>0</v>
      </c>
      <c r="AA110" s="60" t="n">
        <f aca="false">IF(AA$5="A",Inputs_Actuals!AA77,MAX(0,AA109-Z111))</f>
        <v>0</v>
      </c>
      <c r="AB110" s="60" t="n">
        <f aca="false">IF(AB$5="A",Inputs_Actuals!AB77,MAX(0,AB109-AA111))</f>
        <v>0</v>
      </c>
    </row>
    <row r="111" customFormat="false" ht="15" hidden="false" customHeight="false" outlineLevel="0" collapsed="false">
      <c r="A111" s="28" t="s">
        <v>927</v>
      </c>
      <c r="B111" s="58"/>
      <c r="C111" s="59" t="n">
        <f aca="false">P111</f>
        <v>96000</v>
      </c>
      <c r="D111" s="59" t="n">
        <f aca="false">AB111</f>
        <v>96000</v>
      </c>
      <c r="E111" s="60" t="n">
        <f aca="false">Project_Register!$R$12+E110</f>
        <v>0</v>
      </c>
      <c r="F111" s="71" t="n">
        <f aca="false">E111+F110</f>
        <v>0</v>
      </c>
      <c r="G111" s="71" t="n">
        <f aca="false">F111+G110</f>
        <v>0</v>
      </c>
      <c r="H111" s="71" t="n">
        <f aca="false">G111+H110</f>
        <v>0</v>
      </c>
      <c r="I111" s="71" t="n">
        <f aca="false">H111+I110</f>
        <v>28800</v>
      </c>
      <c r="J111" s="71" t="n">
        <f aca="false">I111+J110</f>
        <v>28800</v>
      </c>
      <c r="K111" s="71" t="n">
        <f aca="false">J111+K110</f>
        <v>28800</v>
      </c>
      <c r="L111" s="71" t="n">
        <f aca="false">K111+L110</f>
        <v>67200</v>
      </c>
      <c r="M111" s="71" t="n">
        <f aca="false">L111+M110</f>
        <v>67200</v>
      </c>
      <c r="N111" s="71" t="n">
        <f aca="false">M111+N110</f>
        <v>96000</v>
      </c>
      <c r="O111" s="71" t="n">
        <f aca="false">N111+O110</f>
        <v>96000</v>
      </c>
      <c r="P111" s="71" t="n">
        <f aca="false">O111+P110</f>
        <v>96000</v>
      </c>
      <c r="Q111" s="71" t="n">
        <f aca="false">P111+Q110</f>
        <v>96000</v>
      </c>
      <c r="R111" s="71" t="n">
        <f aca="false">Q111+R110</f>
        <v>96000</v>
      </c>
      <c r="S111" s="71" t="n">
        <f aca="false">R111+S110</f>
        <v>96000</v>
      </c>
      <c r="T111" s="71" t="n">
        <f aca="false">S111+T110</f>
        <v>96000</v>
      </c>
      <c r="U111" s="71" t="n">
        <f aca="false">T111+U110</f>
        <v>96000</v>
      </c>
      <c r="V111" s="71" t="n">
        <f aca="false">U111+V110</f>
        <v>96000</v>
      </c>
      <c r="W111" s="71" t="n">
        <f aca="false">V111+W110</f>
        <v>96000</v>
      </c>
      <c r="X111" s="71" t="n">
        <f aca="false">W111+X110</f>
        <v>96000</v>
      </c>
      <c r="Y111" s="71" t="n">
        <f aca="false">X111+Y110</f>
        <v>96000</v>
      </c>
      <c r="Z111" s="71" t="n">
        <f aca="false">Y111+Z110</f>
        <v>96000</v>
      </c>
      <c r="AA111" s="71" t="n">
        <f aca="false">Z111+AA110</f>
        <v>96000</v>
      </c>
      <c r="AB111" s="71" t="n">
        <f aca="false">AA111+AB110</f>
        <v>96000</v>
      </c>
    </row>
    <row r="112" customFormat="false" ht="15" hidden="false" customHeight="false" outlineLevel="0" collapsed="false">
      <c r="A112" s="28" t="s">
        <v>928</v>
      </c>
      <c r="B112" s="58" t="s">
        <v>929</v>
      </c>
      <c r="C112" s="59" t="n">
        <f aca="false">P112</f>
        <v>0</v>
      </c>
      <c r="D112" s="59" t="n">
        <f aca="false">AB112</f>
        <v>0</v>
      </c>
      <c r="E112" s="71" t="n">
        <f aca="false">E107-E111</f>
        <v>0</v>
      </c>
      <c r="F112" s="71" t="n">
        <f aca="false">F107-F111</f>
        <v>0</v>
      </c>
      <c r="G112" s="71" t="n">
        <f aca="false">G107-G111</f>
        <v>0</v>
      </c>
      <c r="H112" s="71" t="n">
        <f aca="false">H107-H111</f>
        <v>0</v>
      </c>
      <c r="I112" s="71" t="n">
        <f aca="false">I107-I111</f>
        <v>-21730</v>
      </c>
      <c r="J112" s="71" t="n">
        <f aca="false">J107-J111</f>
        <v>-3610</v>
      </c>
      <c r="K112" s="71" t="n">
        <f aca="false">K107-K111</f>
        <v>16200</v>
      </c>
      <c r="L112" s="71" t="n">
        <f aca="false">L107-L111</f>
        <v>2773.33</v>
      </c>
      <c r="M112" s="71" t="n">
        <f aca="false">M107-M111</f>
        <v>21363.8095238095</v>
      </c>
      <c r="N112" s="71" t="n">
        <f aca="false">N107-N111</f>
        <v>0</v>
      </c>
      <c r="O112" s="71" t="n">
        <f aca="false">O107-O111</f>
        <v>0</v>
      </c>
      <c r="P112" s="71" t="n">
        <f aca="false">P107-P111</f>
        <v>0</v>
      </c>
      <c r="Q112" s="71" t="n">
        <f aca="false">Q107-Q111</f>
        <v>0</v>
      </c>
      <c r="R112" s="71" t="n">
        <f aca="false">R107-R111</f>
        <v>0</v>
      </c>
      <c r="S112" s="71" t="n">
        <f aca="false">S107-S111</f>
        <v>0</v>
      </c>
      <c r="T112" s="71" t="n">
        <f aca="false">T107-T111</f>
        <v>0</v>
      </c>
      <c r="U112" s="71" t="n">
        <f aca="false">U107-U111</f>
        <v>0</v>
      </c>
      <c r="V112" s="71" t="n">
        <f aca="false">V107-V111</f>
        <v>0</v>
      </c>
      <c r="W112" s="71" t="n">
        <f aca="false">W107-W111</f>
        <v>0</v>
      </c>
      <c r="X112" s="71" t="n">
        <f aca="false">X107-X111</f>
        <v>0</v>
      </c>
      <c r="Y112" s="71" t="n">
        <f aca="false">Y107-Y111</f>
        <v>0</v>
      </c>
      <c r="Z112" s="71" t="n">
        <f aca="false">Z107-Z111</f>
        <v>0</v>
      </c>
      <c r="AA112" s="71" t="n">
        <f aca="false">AA107-AA111</f>
        <v>0</v>
      </c>
      <c r="AB112" s="71" t="n">
        <f aca="false">AB107-AB111</f>
        <v>0</v>
      </c>
    </row>
    <row r="113" customFormat="false" ht="15" hidden="false" customHeight="false" outlineLevel="0" collapsed="false">
      <c r="A113" s="28" t="s">
        <v>930</v>
      </c>
      <c r="B113" s="58"/>
      <c r="C113" s="59" t="n">
        <f aca="false">P113</f>
        <v>0</v>
      </c>
      <c r="D113" s="59" t="n">
        <f aca="false">AB113</f>
        <v>0</v>
      </c>
      <c r="E113" s="71" t="n">
        <f aca="false">MAX(0,E106-E107)</f>
        <v>0</v>
      </c>
      <c r="F113" s="71" t="n">
        <f aca="false">MAX(0,F106-F107)</f>
        <v>0</v>
      </c>
      <c r="G113" s="71" t="n">
        <f aca="false">MAX(0,G106-G107)</f>
        <v>0</v>
      </c>
      <c r="H113" s="71" t="n">
        <f aca="false">MAX(0,H106-H107)</f>
        <v>0</v>
      </c>
      <c r="I113" s="71" t="n">
        <f aca="false">MAX(0,I106-I107)</f>
        <v>88930</v>
      </c>
      <c r="J113" s="71" t="n">
        <f aca="false">MAX(0,J106-J107)</f>
        <v>70810</v>
      </c>
      <c r="K113" s="71" t="n">
        <f aca="false">MAX(0,K106-K107)</f>
        <v>51000</v>
      </c>
      <c r="L113" s="71" t="n">
        <f aca="false">MAX(0,L106-L107)</f>
        <v>26026.67</v>
      </c>
      <c r="M113" s="71" t="n">
        <f aca="false">MAX(0,M106-M107)</f>
        <v>7436.19047619049</v>
      </c>
      <c r="N113" s="71" t="n">
        <f aca="false">MAX(0,N106-N107)</f>
        <v>0</v>
      </c>
      <c r="O113" s="71" t="n">
        <f aca="false">MAX(0,O106-O107)</f>
        <v>0</v>
      </c>
      <c r="P113" s="71" t="n">
        <f aca="false">MAX(0,P106-P107)</f>
        <v>0</v>
      </c>
      <c r="Q113" s="71" t="n">
        <f aca="false">MAX(0,Q106-Q107)</f>
        <v>0</v>
      </c>
      <c r="R113" s="71" t="n">
        <f aca="false">MAX(0,R106-R107)</f>
        <v>0</v>
      </c>
      <c r="S113" s="71" t="n">
        <f aca="false">MAX(0,S106-S107)</f>
        <v>0</v>
      </c>
      <c r="T113" s="71" t="n">
        <f aca="false">MAX(0,T106-T107)</f>
        <v>0</v>
      </c>
      <c r="U113" s="71" t="n">
        <f aca="false">MAX(0,U106-U107)</f>
        <v>0</v>
      </c>
      <c r="V113" s="71" t="n">
        <f aca="false">MAX(0,V106-V107)</f>
        <v>0</v>
      </c>
      <c r="W113" s="71" t="n">
        <f aca="false">MAX(0,W106-W107)</f>
        <v>0</v>
      </c>
      <c r="X113" s="71" t="n">
        <f aca="false">MAX(0,X106-X107)</f>
        <v>0</v>
      </c>
      <c r="Y113" s="71" t="n">
        <f aca="false">MAX(0,Y106-Y107)</f>
        <v>0</v>
      </c>
      <c r="Z113" s="71" t="n">
        <f aca="false">MAX(0,Z106-Z107)</f>
        <v>0</v>
      </c>
      <c r="AA113" s="71" t="n">
        <f aca="false">MAX(0,AA106-AA107)</f>
        <v>0</v>
      </c>
      <c r="AB113" s="71" t="n">
        <f aca="false">MAX(0,AB106-AB107)</f>
        <v>0</v>
      </c>
    </row>
    <row r="114" customFormat="false" ht="15" hidden="false" customHeight="false" outlineLevel="0" collapsed="false">
      <c r="A114" s="28" t="s">
        <v>931</v>
      </c>
      <c r="B114" s="58" t="s">
        <v>932</v>
      </c>
      <c r="E114" s="71" t="n">
        <f aca="false">IF(E$5="A",ROUND(E107-E105*E106,0),0)</f>
        <v>0</v>
      </c>
      <c r="F114" s="71" t="n">
        <f aca="false">IF(F$5="A",ROUND(F107-F105*F106,0),0)</f>
        <v>0</v>
      </c>
      <c r="G114" s="71" t="n">
        <f aca="false">IF(G$5="A",ROUND(G107-G105*G106,0),0)</f>
        <v>0</v>
      </c>
      <c r="H114" s="71" t="n">
        <f aca="false">IF(H$5="A",ROUND(H107-H105*H106,0),0)</f>
        <v>0</v>
      </c>
      <c r="I114" s="71" t="n">
        <f aca="false">IF(I$5="A",ROUND(I107-I105*I106,0),0)</f>
        <v>0</v>
      </c>
      <c r="J114" s="71" t="n">
        <f aca="false">IF(J$5="A",ROUND(J107-J105*J106,0),0)</f>
        <v>0</v>
      </c>
      <c r="K114" s="71" t="n">
        <f aca="false">IF(K$5="A",ROUND(K107-K105*K106,0),0)</f>
        <v>0</v>
      </c>
      <c r="L114" s="71" t="n">
        <f aca="false">IF(L$5="A",ROUND(L107-L105*L106,0),0)</f>
        <v>-0</v>
      </c>
      <c r="M114" s="71" t="n">
        <f aca="false">IF(M$5="A",ROUND(M107-M105*M106,0),0)</f>
        <v>0</v>
      </c>
      <c r="N114" s="71" t="n">
        <f aca="false">IF(N$5="A",ROUND(N107-N105*N106,0),0)</f>
        <v>0</v>
      </c>
      <c r="O114" s="71" t="n">
        <f aca="false">IF(O$5="A",ROUND(O107-O105*O106,0),0)</f>
        <v>0</v>
      </c>
      <c r="P114" s="71" t="n">
        <f aca="false">IF(P$5="A",ROUND(P107-P105*P106,0),0)</f>
        <v>0</v>
      </c>
      <c r="Q114" s="71" t="n">
        <f aca="false">IF(Q$5="A",ROUND(Q107-Q105*Q106,0),0)</f>
        <v>0</v>
      </c>
      <c r="R114" s="71" t="n">
        <f aca="false">IF(R$5="A",ROUND(R107-R105*R106,0),0)</f>
        <v>0</v>
      </c>
      <c r="S114" s="71" t="n">
        <f aca="false">IF(S$5="A",ROUND(S107-S105*S106,0),0)</f>
        <v>0</v>
      </c>
      <c r="T114" s="71" t="n">
        <f aca="false">IF(T$5="A",ROUND(T107-T105*T106,0),0)</f>
        <v>0</v>
      </c>
      <c r="U114" s="71" t="n">
        <f aca="false">IF(U$5="A",ROUND(U107-U105*U106,0),0)</f>
        <v>0</v>
      </c>
      <c r="V114" s="71" t="n">
        <f aca="false">IF(V$5="A",ROUND(V107-V105*V106,0),0)</f>
        <v>0</v>
      </c>
      <c r="W114" s="71" t="n">
        <f aca="false">IF(W$5="A",ROUND(W107-W105*W106,0),0)</f>
        <v>0</v>
      </c>
      <c r="X114" s="71" t="n">
        <f aca="false">IF(X$5="A",ROUND(X107-X105*X106,0),0)</f>
        <v>0</v>
      </c>
      <c r="Y114" s="71" t="n">
        <f aca="false">IF(Y$5="A",ROUND(Y107-Y105*Y106,0),0)</f>
        <v>0</v>
      </c>
      <c r="Z114" s="71" t="n">
        <f aca="false">IF(Z$5="A",ROUND(Z107-Z105*Z106,0),0)</f>
        <v>0</v>
      </c>
      <c r="AA114" s="71" t="n">
        <f aca="false">IF(AA$5="A",ROUND(AA107-AA105*AA106,0),0)</f>
        <v>0</v>
      </c>
      <c r="AB114" s="71" t="n">
        <f aca="false">IF(AB$5="A",ROUND(AB107-AB105*AB106,0),0)</f>
        <v>0</v>
      </c>
    </row>
    <row r="116" customFormat="false" ht="15" hidden="false" customHeight="false" outlineLevel="0" collapsed="false">
      <c r="A116" s="22" t="s">
        <v>940</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row>
    <row r="117" customFormat="false" ht="15" hidden="false" customHeight="false" outlineLevel="0" collapsed="false">
      <c r="A117" s="28" t="s">
        <v>905</v>
      </c>
      <c r="B117" s="58" t="s">
        <v>906</v>
      </c>
      <c r="E117" s="112" t="n">
        <f aca="false">MIN(1,MAX(0,(Assumptions!E$99-Project_Register!$T$13+1)/(Project_Register!$U$13-Project_Register!$T$13+1)))</f>
        <v>0</v>
      </c>
      <c r="F117" s="112" t="n">
        <f aca="false">MIN(1,MAX(0,(Assumptions!F$99-Project_Register!$T$13+1)/(Project_Register!$U$13-Project_Register!$T$13+1)))</f>
        <v>0</v>
      </c>
      <c r="G117" s="112" t="n">
        <f aca="false">MIN(1,MAX(0,(Assumptions!G$99-Project_Register!$T$13+1)/(Project_Register!$U$13-Project_Register!$T$13+1)))</f>
        <v>0</v>
      </c>
      <c r="H117" s="112" t="n">
        <f aca="false">MIN(1,MAX(0,(Assumptions!H$99-Project_Register!$T$13+1)/(Project_Register!$U$13-Project_Register!$T$13+1)))</f>
        <v>0</v>
      </c>
      <c r="I117" s="112" t="n">
        <f aca="false">MIN(1,MAX(0,(Assumptions!I$99-Project_Register!$T$13+1)/(Project_Register!$U$13-Project_Register!$T$13+1)))</f>
        <v>0</v>
      </c>
      <c r="J117" s="112" t="n">
        <f aca="false">MIN(1,MAX(0,(Assumptions!J$99-Project_Register!$T$13+1)/(Project_Register!$U$13-Project_Register!$T$13+1)))</f>
        <v>0.166666666666667</v>
      </c>
      <c r="K117" s="112" t="n">
        <f aca="false">MIN(1,MAX(0,(Assumptions!K$99-Project_Register!$T$13+1)/(Project_Register!$U$13-Project_Register!$T$13+1)))</f>
        <v>0.333333333333333</v>
      </c>
      <c r="L117" s="112" t="n">
        <f aca="false">MIN(1,MAX(0,(Assumptions!L$99-Project_Register!$T$13+1)/(Project_Register!$U$13-Project_Register!$T$13+1)))</f>
        <v>0.5</v>
      </c>
      <c r="M117" s="112" t="n">
        <f aca="false">MIN(1,MAX(0,(Assumptions!M$99-Project_Register!$T$13+1)/(Project_Register!$U$13-Project_Register!$T$13+1)))</f>
        <v>0.666666666666667</v>
      </c>
      <c r="N117" s="112" t="n">
        <f aca="false">MIN(1,MAX(0,(Assumptions!N$99-Project_Register!$T$13+1)/(Project_Register!$U$13-Project_Register!$T$13+1)))</f>
        <v>0.833333333333333</v>
      </c>
      <c r="O117" s="112" t="n">
        <f aca="false">MIN(1,MAX(0,(Assumptions!O$99-Project_Register!$T$13+1)/(Project_Register!$U$13-Project_Register!$T$13+1)))</f>
        <v>1</v>
      </c>
      <c r="P117" s="112" t="n">
        <f aca="false">MIN(1,MAX(0,(Assumptions!P$99-Project_Register!$T$13+1)/(Project_Register!$U$13-Project_Register!$T$13+1)))</f>
        <v>1</v>
      </c>
      <c r="Q117" s="112" t="n">
        <f aca="false">MIN(1,MAX(0,(Assumptions!Q$99-Project_Register!$T$13+1)/(Project_Register!$U$13-Project_Register!$T$13+1)))</f>
        <v>1</v>
      </c>
      <c r="R117" s="112" t="n">
        <f aca="false">MIN(1,MAX(0,(Assumptions!R$99-Project_Register!$T$13+1)/(Project_Register!$U$13-Project_Register!$T$13+1)))</f>
        <v>1</v>
      </c>
      <c r="S117" s="112" t="n">
        <f aca="false">MIN(1,MAX(0,(Assumptions!S$99-Project_Register!$T$13+1)/(Project_Register!$U$13-Project_Register!$T$13+1)))</f>
        <v>1</v>
      </c>
      <c r="T117" s="112" t="n">
        <f aca="false">MIN(1,MAX(0,(Assumptions!T$99-Project_Register!$T$13+1)/(Project_Register!$U$13-Project_Register!$T$13+1)))</f>
        <v>1</v>
      </c>
      <c r="U117" s="112" t="n">
        <f aca="false">MIN(1,MAX(0,(Assumptions!U$99-Project_Register!$T$13+1)/(Project_Register!$U$13-Project_Register!$T$13+1)))</f>
        <v>1</v>
      </c>
      <c r="V117" s="112" t="n">
        <f aca="false">MIN(1,MAX(0,(Assumptions!V$99-Project_Register!$T$13+1)/(Project_Register!$U$13-Project_Register!$T$13+1)))</f>
        <v>1</v>
      </c>
      <c r="W117" s="112" t="n">
        <f aca="false">MIN(1,MAX(0,(Assumptions!W$99-Project_Register!$T$13+1)/(Project_Register!$U$13-Project_Register!$T$13+1)))</f>
        <v>1</v>
      </c>
      <c r="X117" s="112" t="n">
        <f aca="false">MIN(1,MAX(0,(Assumptions!X$99-Project_Register!$T$13+1)/(Project_Register!$U$13-Project_Register!$T$13+1)))</f>
        <v>1</v>
      </c>
      <c r="Y117" s="112" t="n">
        <f aca="false">MIN(1,MAX(0,(Assumptions!Y$99-Project_Register!$T$13+1)/(Project_Register!$U$13-Project_Register!$T$13+1)))</f>
        <v>1</v>
      </c>
      <c r="Z117" s="112" t="n">
        <f aca="false">MIN(1,MAX(0,(Assumptions!Z$99-Project_Register!$T$13+1)/(Project_Register!$U$13-Project_Register!$T$13+1)))</f>
        <v>1</v>
      </c>
      <c r="AA117" s="112" t="n">
        <f aca="false">MIN(1,MAX(0,(Assumptions!AA$99-Project_Register!$T$13+1)/(Project_Register!$U$13-Project_Register!$T$13+1)))</f>
        <v>1</v>
      </c>
      <c r="AB117" s="112" t="n">
        <f aca="false">MIN(1,MAX(0,(Assumptions!AB$99-Project_Register!$T$13+1)/(Project_Register!$U$13-Project_Register!$T$13+1)))</f>
        <v>1</v>
      </c>
    </row>
    <row r="118" customFormat="false" ht="15" hidden="false" customHeight="false" outlineLevel="0" collapsed="false">
      <c r="A118" s="28" t="s">
        <v>907</v>
      </c>
      <c r="B118" s="58" t="s">
        <v>908</v>
      </c>
      <c r="E118" s="113" t="n">
        <f aca="false">3*E117^2-2*E117^3</f>
        <v>0</v>
      </c>
      <c r="F118" s="113" t="n">
        <f aca="false">3*F117^2-2*F117^3</f>
        <v>0</v>
      </c>
      <c r="G118" s="113" t="n">
        <f aca="false">3*G117^2-2*G117^3</f>
        <v>0</v>
      </c>
      <c r="H118" s="113" t="n">
        <f aca="false">3*H117^2-2*H117^3</f>
        <v>0</v>
      </c>
      <c r="I118" s="113" t="n">
        <f aca="false">3*I117^2-2*I117^3</f>
        <v>0</v>
      </c>
      <c r="J118" s="113" t="n">
        <f aca="false">3*J117^2-2*J117^3</f>
        <v>0.0740740740740741</v>
      </c>
      <c r="K118" s="113" t="n">
        <f aca="false">3*K117^2-2*K117^3</f>
        <v>0.259259259259259</v>
      </c>
      <c r="L118" s="113" t="n">
        <f aca="false">3*L117^2-2*L117^3</f>
        <v>0.5</v>
      </c>
      <c r="M118" s="113" t="n">
        <f aca="false">3*M117^2-2*M117^3</f>
        <v>0.740740740740741</v>
      </c>
      <c r="N118" s="113" t="n">
        <f aca="false">3*N117^2-2*N117^3</f>
        <v>0.925925925925926</v>
      </c>
      <c r="O118" s="113" t="n">
        <f aca="false">3*O117^2-2*O117^3</f>
        <v>1</v>
      </c>
      <c r="P118" s="113" t="n">
        <f aca="false">3*P117^2-2*P117^3</f>
        <v>1</v>
      </c>
      <c r="Q118" s="113" t="n">
        <f aca="false">3*Q117^2-2*Q117^3</f>
        <v>1</v>
      </c>
      <c r="R118" s="113" t="n">
        <f aca="false">3*R117^2-2*R117^3</f>
        <v>1</v>
      </c>
      <c r="S118" s="113" t="n">
        <f aca="false">3*S117^2-2*S117^3</f>
        <v>1</v>
      </c>
      <c r="T118" s="113" t="n">
        <f aca="false">3*T117^2-2*T117^3</f>
        <v>1</v>
      </c>
      <c r="U118" s="113" t="n">
        <f aca="false">3*U117^2-2*U117^3</f>
        <v>1</v>
      </c>
      <c r="V118" s="113" t="n">
        <f aca="false">3*V117^2-2*V117^3</f>
        <v>1</v>
      </c>
      <c r="W118" s="113" t="n">
        <f aca="false">3*W117^2-2*W117^3</f>
        <v>1</v>
      </c>
      <c r="X118" s="113" t="n">
        <f aca="false">3*X117^2-2*X117^3</f>
        <v>1</v>
      </c>
      <c r="Y118" s="113" t="n">
        <f aca="false">3*Y117^2-2*Y117^3</f>
        <v>1</v>
      </c>
      <c r="Z118" s="113" t="n">
        <f aca="false">3*Z117^2-2*Z117^3</f>
        <v>1</v>
      </c>
      <c r="AA118" s="113" t="n">
        <f aca="false">3*AA117^2-2*AA117^3</f>
        <v>1</v>
      </c>
      <c r="AB118" s="113" t="n">
        <f aca="false">3*AB117^2-2*AB117^3</f>
        <v>1</v>
      </c>
    </row>
    <row r="119" customFormat="false" ht="15" hidden="false" customHeight="false" outlineLevel="0" collapsed="false">
      <c r="A119" s="28" t="s">
        <v>909</v>
      </c>
      <c r="B119" s="58"/>
      <c r="E119" s="112" t="n">
        <f aca="false">3*MIN(1,MAX(0,(Assumptions!E$99-Project_Register!$T$13)/(Project_Register!$U$13-Project_Register!$T$13+1)))^2-2*MIN(1,MAX(0,(Assumptions!E$99-Project_Register!$T$13)/(Project_Register!$U$13-Project_Register!$T$13+1)))^3</f>
        <v>0</v>
      </c>
      <c r="F119" s="112" t="n">
        <f aca="false">3*MIN(1,MAX(0,(Assumptions!F$99-Project_Register!$T$13)/(Project_Register!$U$13-Project_Register!$T$13+1)))^2-2*MIN(1,MAX(0,(Assumptions!F$99-Project_Register!$T$13)/(Project_Register!$U$13-Project_Register!$T$13+1)))^3</f>
        <v>0</v>
      </c>
      <c r="G119" s="112" t="n">
        <f aca="false">3*MIN(1,MAX(0,(Assumptions!G$99-Project_Register!$T$13)/(Project_Register!$U$13-Project_Register!$T$13+1)))^2-2*MIN(1,MAX(0,(Assumptions!G$99-Project_Register!$T$13)/(Project_Register!$U$13-Project_Register!$T$13+1)))^3</f>
        <v>0</v>
      </c>
      <c r="H119" s="112" t="n">
        <f aca="false">3*MIN(1,MAX(0,(Assumptions!H$99-Project_Register!$T$13)/(Project_Register!$U$13-Project_Register!$T$13+1)))^2-2*MIN(1,MAX(0,(Assumptions!H$99-Project_Register!$T$13)/(Project_Register!$U$13-Project_Register!$T$13+1)))^3</f>
        <v>0</v>
      </c>
      <c r="I119" s="112" t="n">
        <f aca="false">3*MIN(1,MAX(0,(Assumptions!I$99-Project_Register!$T$13)/(Project_Register!$U$13-Project_Register!$T$13+1)))^2-2*MIN(1,MAX(0,(Assumptions!I$99-Project_Register!$T$13)/(Project_Register!$U$13-Project_Register!$T$13+1)))^3</f>
        <v>0</v>
      </c>
      <c r="J119" s="112" t="n">
        <f aca="false">3*MIN(1,MAX(0,(Assumptions!J$99-Project_Register!$T$13)/(Project_Register!$U$13-Project_Register!$T$13+1)))^2-2*MIN(1,MAX(0,(Assumptions!J$99-Project_Register!$T$13)/(Project_Register!$U$13-Project_Register!$T$13+1)))^3</f>
        <v>0</v>
      </c>
      <c r="K119" s="112" t="n">
        <f aca="false">3*MIN(1,MAX(0,(Assumptions!K$99-Project_Register!$T$13)/(Project_Register!$U$13-Project_Register!$T$13+1)))^2-2*MIN(1,MAX(0,(Assumptions!K$99-Project_Register!$T$13)/(Project_Register!$U$13-Project_Register!$T$13+1)))^3</f>
        <v>0.0740740740740741</v>
      </c>
      <c r="L119" s="112" t="n">
        <f aca="false">3*MIN(1,MAX(0,(Assumptions!L$99-Project_Register!$T$13)/(Project_Register!$U$13-Project_Register!$T$13+1)))^2-2*MIN(1,MAX(0,(Assumptions!L$99-Project_Register!$T$13)/(Project_Register!$U$13-Project_Register!$T$13+1)))^3</f>
        <v>0.259259259259259</v>
      </c>
      <c r="M119" s="112" t="n">
        <f aca="false">3*MIN(1,MAX(0,(Assumptions!M$99-Project_Register!$T$13)/(Project_Register!$U$13-Project_Register!$T$13+1)))^2-2*MIN(1,MAX(0,(Assumptions!M$99-Project_Register!$T$13)/(Project_Register!$U$13-Project_Register!$T$13+1)))^3</f>
        <v>0.5</v>
      </c>
      <c r="N119" s="112" t="n">
        <f aca="false">3*MIN(1,MAX(0,(Assumptions!N$99-Project_Register!$T$13)/(Project_Register!$U$13-Project_Register!$T$13+1)))^2-2*MIN(1,MAX(0,(Assumptions!N$99-Project_Register!$T$13)/(Project_Register!$U$13-Project_Register!$T$13+1)))^3</f>
        <v>0.740740740740741</v>
      </c>
      <c r="O119" s="112" t="n">
        <f aca="false">3*MIN(1,MAX(0,(Assumptions!O$99-Project_Register!$T$13)/(Project_Register!$U$13-Project_Register!$T$13+1)))^2-2*MIN(1,MAX(0,(Assumptions!O$99-Project_Register!$T$13)/(Project_Register!$U$13-Project_Register!$T$13+1)))^3</f>
        <v>0.925925925925926</v>
      </c>
      <c r="P119" s="112" t="n">
        <f aca="false">3*MIN(1,MAX(0,(Assumptions!P$99-Project_Register!$T$13)/(Project_Register!$U$13-Project_Register!$T$13+1)))^2-2*MIN(1,MAX(0,(Assumptions!P$99-Project_Register!$T$13)/(Project_Register!$U$13-Project_Register!$T$13+1)))^3</f>
        <v>1</v>
      </c>
      <c r="Q119" s="112" t="n">
        <f aca="false">3*MIN(1,MAX(0,(Assumptions!Q$99-Project_Register!$T$13)/(Project_Register!$U$13-Project_Register!$T$13+1)))^2-2*MIN(1,MAX(0,(Assumptions!Q$99-Project_Register!$T$13)/(Project_Register!$U$13-Project_Register!$T$13+1)))^3</f>
        <v>1</v>
      </c>
      <c r="R119" s="112" t="n">
        <f aca="false">3*MIN(1,MAX(0,(Assumptions!R$99-Project_Register!$T$13)/(Project_Register!$U$13-Project_Register!$T$13+1)))^2-2*MIN(1,MAX(0,(Assumptions!R$99-Project_Register!$T$13)/(Project_Register!$U$13-Project_Register!$T$13+1)))^3</f>
        <v>1</v>
      </c>
      <c r="S119" s="112" t="n">
        <f aca="false">3*MIN(1,MAX(0,(Assumptions!S$99-Project_Register!$T$13)/(Project_Register!$U$13-Project_Register!$T$13+1)))^2-2*MIN(1,MAX(0,(Assumptions!S$99-Project_Register!$T$13)/(Project_Register!$U$13-Project_Register!$T$13+1)))^3</f>
        <v>1</v>
      </c>
      <c r="T119" s="112" t="n">
        <f aca="false">3*MIN(1,MAX(0,(Assumptions!T$99-Project_Register!$T$13)/(Project_Register!$U$13-Project_Register!$T$13+1)))^2-2*MIN(1,MAX(0,(Assumptions!T$99-Project_Register!$T$13)/(Project_Register!$U$13-Project_Register!$T$13+1)))^3</f>
        <v>1</v>
      </c>
      <c r="U119" s="112" t="n">
        <f aca="false">3*MIN(1,MAX(0,(Assumptions!U$99-Project_Register!$T$13)/(Project_Register!$U$13-Project_Register!$T$13+1)))^2-2*MIN(1,MAX(0,(Assumptions!U$99-Project_Register!$T$13)/(Project_Register!$U$13-Project_Register!$T$13+1)))^3</f>
        <v>1</v>
      </c>
      <c r="V119" s="112" t="n">
        <f aca="false">3*MIN(1,MAX(0,(Assumptions!V$99-Project_Register!$T$13)/(Project_Register!$U$13-Project_Register!$T$13+1)))^2-2*MIN(1,MAX(0,(Assumptions!V$99-Project_Register!$T$13)/(Project_Register!$U$13-Project_Register!$T$13+1)))^3</f>
        <v>1</v>
      </c>
      <c r="W119" s="112" t="n">
        <f aca="false">3*MIN(1,MAX(0,(Assumptions!W$99-Project_Register!$T$13)/(Project_Register!$U$13-Project_Register!$T$13+1)))^2-2*MIN(1,MAX(0,(Assumptions!W$99-Project_Register!$T$13)/(Project_Register!$U$13-Project_Register!$T$13+1)))^3</f>
        <v>1</v>
      </c>
      <c r="X119" s="112" t="n">
        <f aca="false">3*MIN(1,MAX(0,(Assumptions!X$99-Project_Register!$T$13)/(Project_Register!$U$13-Project_Register!$T$13+1)))^2-2*MIN(1,MAX(0,(Assumptions!X$99-Project_Register!$T$13)/(Project_Register!$U$13-Project_Register!$T$13+1)))^3</f>
        <v>1</v>
      </c>
      <c r="Y119" s="112" t="n">
        <f aca="false">3*MIN(1,MAX(0,(Assumptions!Y$99-Project_Register!$T$13)/(Project_Register!$U$13-Project_Register!$T$13+1)))^2-2*MIN(1,MAX(0,(Assumptions!Y$99-Project_Register!$T$13)/(Project_Register!$U$13-Project_Register!$T$13+1)))^3</f>
        <v>1</v>
      </c>
      <c r="Z119" s="112" t="n">
        <f aca="false">3*MIN(1,MAX(0,(Assumptions!Z$99-Project_Register!$T$13)/(Project_Register!$U$13-Project_Register!$T$13+1)))^2-2*MIN(1,MAX(0,(Assumptions!Z$99-Project_Register!$T$13)/(Project_Register!$U$13-Project_Register!$T$13+1)))^3</f>
        <v>1</v>
      </c>
      <c r="AA119" s="112" t="n">
        <f aca="false">3*MIN(1,MAX(0,(Assumptions!AA$99-Project_Register!$T$13)/(Project_Register!$U$13-Project_Register!$T$13+1)))^2-2*MIN(1,MAX(0,(Assumptions!AA$99-Project_Register!$T$13)/(Project_Register!$U$13-Project_Register!$T$13+1)))^3</f>
        <v>1</v>
      </c>
      <c r="AB119" s="112" t="n">
        <f aca="false">3*MIN(1,MAX(0,(Assumptions!AB$99-Project_Register!$T$13)/(Project_Register!$U$13-Project_Register!$T$13+1)))^2-2*MIN(1,MAX(0,(Assumptions!AB$99-Project_Register!$T$13)/(Project_Register!$U$13-Project_Register!$T$13+1)))^3</f>
        <v>1</v>
      </c>
    </row>
    <row r="120" customFormat="false" ht="15" hidden="false" customHeight="false" outlineLevel="0" collapsed="false">
      <c r="A120" s="28" t="s">
        <v>802</v>
      </c>
      <c r="B120" s="58" t="s">
        <v>910</v>
      </c>
      <c r="C120" s="66" t="n">
        <f aca="false">SUM(E120:P120)</f>
        <v>560</v>
      </c>
      <c r="D120" s="66" t="n">
        <f aca="false">SUM(Q120:AB120)</f>
        <v>0</v>
      </c>
      <c r="E120" s="67" t="n">
        <f aca="false">IF(E$5="A",Inputs_Actuals!E78,IF((Project_Register!$AA$13-Project_Register!$X$13)&lt;=0,0,IF(1-Project_Register!$AC$13&lt;=0.000001,IF(Assumptions!E$99=Assumptions!$C$10+1,(Project_Register!$AA$13-Project_Register!$X$13),0),(Project_Register!$AA$13-Project_Register!$X$13)*(E118-E119)/(1-Project_Register!$AC$13))))</f>
        <v>0</v>
      </c>
      <c r="F120" s="67" t="n">
        <f aca="false">IF(F$5="A",Inputs_Actuals!F78,IF((Project_Register!$AA$13-Project_Register!$X$13)&lt;=0,0,IF(1-Project_Register!$AC$13&lt;=0.000001,IF(Assumptions!F$99=Assumptions!$C$10+1,(Project_Register!$AA$13-Project_Register!$X$13),0),(Project_Register!$AA$13-Project_Register!$X$13)*(F118-F119)/(1-Project_Register!$AC$13))))</f>
        <v>0</v>
      </c>
      <c r="G120" s="67" t="n">
        <f aca="false">IF(G$5="A",Inputs_Actuals!G78,IF((Project_Register!$AA$13-Project_Register!$X$13)&lt;=0,0,IF(1-Project_Register!$AC$13&lt;=0.000001,IF(Assumptions!G$99=Assumptions!$C$10+1,(Project_Register!$AA$13-Project_Register!$X$13),0),(Project_Register!$AA$13-Project_Register!$X$13)*(G118-G119)/(1-Project_Register!$AC$13))))</f>
        <v>0</v>
      </c>
      <c r="H120" s="67" t="n">
        <f aca="false">IF(H$5="A",Inputs_Actuals!H78,IF((Project_Register!$AA$13-Project_Register!$X$13)&lt;=0,0,IF(1-Project_Register!$AC$13&lt;=0.000001,IF(Assumptions!H$99=Assumptions!$C$10+1,(Project_Register!$AA$13-Project_Register!$X$13),0),(Project_Register!$AA$13-Project_Register!$X$13)*(H118-H119)/(1-Project_Register!$AC$13))))</f>
        <v>0</v>
      </c>
      <c r="I120" s="67" t="n">
        <f aca="false">IF(I$5="A",Inputs_Actuals!I78,IF((Project_Register!$AA$13-Project_Register!$X$13)&lt;=0,0,IF(1-Project_Register!$AC$13&lt;=0.000001,IF(Assumptions!I$99=Assumptions!$C$10+1,(Project_Register!$AA$13-Project_Register!$X$13),0),(Project_Register!$AA$13-Project_Register!$X$13)*(I118-I119)/(1-Project_Register!$AC$13))))</f>
        <v>0</v>
      </c>
      <c r="J120" s="67" t="n">
        <f aca="false">IF(J$5="A",Inputs_Actuals!J78,IF((Project_Register!$AA$13-Project_Register!$X$13)&lt;=0,0,IF(1-Project_Register!$AC$13&lt;=0.000001,IF(Assumptions!J$99=Assumptions!$C$10+1,(Project_Register!$AA$13-Project_Register!$X$13),0),(Project_Register!$AA$13-Project_Register!$X$13)*(J118-J119)/(1-Project_Register!$AC$13))))</f>
        <v>42.2</v>
      </c>
      <c r="K120" s="67" t="n">
        <f aca="false">IF(K$5="A",Inputs_Actuals!K78,IF((Project_Register!$AA$13-Project_Register!$X$13)&lt;=0,0,IF(1-Project_Register!$AC$13&lt;=0.000001,IF(Assumptions!K$99=Assumptions!$C$10+1,(Project_Register!$AA$13-Project_Register!$X$13),0),(Project_Register!$AA$13-Project_Register!$X$13)*(K118-K119)/(1-Project_Register!$AC$13))))</f>
        <v>103.6</v>
      </c>
      <c r="L120" s="67" t="n">
        <f aca="false">IF(L$5="A",Inputs_Actuals!L78,IF((Project_Register!$AA$13-Project_Register!$X$13)&lt;=0,0,IF(1-Project_Register!$AC$13&lt;=0.000001,IF(Assumptions!L$99=Assumptions!$C$10+1,(Project_Register!$AA$13-Project_Register!$X$13),0),(Project_Register!$AA$13-Project_Register!$X$13)*(L118-L119)/(1-Project_Register!$AC$13))))</f>
        <v>129.6</v>
      </c>
      <c r="M120" s="67" t="n">
        <f aca="false">IF(M$5="A",Inputs_Actuals!M78,IF((Project_Register!$AA$13-Project_Register!$X$13)&lt;=0,0,IF(1-Project_Register!$AC$13&lt;=0.000001,IF(Assumptions!M$99=Assumptions!$C$10+1,(Project_Register!$AA$13-Project_Register!$X$13),0),(Project_Register!$AA$13-Project_Register!$X$13)*(M118-M119)/(1-Project_Register!$AC$13))))</f>
        <v>137.02962962963</v>
      </c>
      <c r="N120" s="67" t="n">
        <f aca="false">IF(N$5="A",Inputs_Actuals!N78,IF((Project_Register!$AA$13-Project_Register!$X$13)&lt;=0,0,IF(1-Project_Register!$AC$13&lt;=0.000001,IF(Assumptions!N$99=Assumptions!$C$10+1,(Project_Register!$AA$13-Project_Register!$X$13),0),(Project_Register!$AA$13-Project_Register!$X$13)*(N118-N119)/(1-Project_Register!$AC$13))))</f>
        <v>105.407407407407</v>
      </c>
      <c r="O120" s="67" t="n">
        <f aca="false">IF(O$5="A",Inputs_Actuals!O78,IF((Project_Register!$AA$13-Project_Register!$X$13)&lt;=0,0,IF(1-Project_Register!$AC$13&lt;=0.000001,IF(Assumptions!O$99=Assumptions!$C$10+1,(Project_Register!$AA$13-Project_Register!$X$13),0),(Project_Register!$AA$13-Project_Register!$X$13)*(O118-O119)/(1-Project_Register!$AC$13))))</f>
        <v>42.162962962963</v>
      </c>
      <c r="P120" s="67" t="n">
        <f aca="false">IF(P$5="A",Inputs_Actuals!P78,IF((Project_Register!$AA$13-Project_Register!$X$13)&lt;=0,0,IF(1-Project_Register!$AC$13&lt;=0.000001,IF(Assumptions!P$99=Assumptions!$C$10+1,(Project_Register!$AA$13-Project_Register!$X$13),0),(Project_Register!$AA$13-Project_Register!$X$13)*(P118-P119)/(1-Project_Register!$AC$13))))</f>
        <v>0</v>
      </c>
      <c r="Q120" s="67" t="n">
        <f aca="false">IF(Q$5="A",Inputs_Actuals!Q78,IF((Project_Register!$AA$13-Project_Register!$X$13)&lt;=0,0,IF(1-Project_Register!$AC$13&lt;=0.000001,IF(Assumptions!Q$99=Assumptions!$C$10+1,(Project_Register!$AA$13-Project_Register!$X$13),0),(Project_Register!$AA$13-Project_Register!$X$13)*(Q118-Q119)/(1-Project_Register!$AC$13))))</f>
        <v>0</v>
      </c>
      <c r="R120" s="67" t="n">
        <f aca="false">IF(R$5="A",Inputs_Actuals!R78,IF((Project_Register!$AA$13-Project_Register!$X$13)&lt;=0,0,IF(1-Project_Register!$AC$13&lt;=0.000001,IF(Assumptions!R$99=Assumptions!$C$10+1,(Project_Register!$AA$13-Project_Register!$X$13),0),(Project_Register!$AA$13-Project_Register!$X$13)*(R118-R119)/(1-Project_Register!$AC$13))))</f>
        <v>0</v>
      </c>
      <c r="S120" s="67" t="n">
        <f aca="false">IF(S$5="A",Inputs_Actuals!S78,IF((Project_Register!$AA$13-Project_Register!$X$13)&lt;=0,0,IF(1-Project_Register!$AC$13&lt;=0.000001,IF(Assumptions!S$99=Assumptions!$C$10+1,(Project_Register!$AA$13-Project_Register!$X$13),0),(Project_Register!$AA$13-Project_Register!$X$13)*(S118-S119)/(1-Project_Register!$AC$13))))</f>
        <v>0</v>
      </c>
      <c r="T120" s="67" t="n">
        <f aca="false">IF(T$5="A",Inputs_Actuals!T78,IF((Project_Register!$AA$13-Project_Register!$X$13)&lt;=0,0,IF(1-Project_Register!$AC$13&lt;=0.000001,IF(Assumptions!T$99=Assumptions!$C$10+1,(Project_Register!$AA$13-Project_Register!$X$13),0),(Project_Register!$AA$13-Project_Register!$X$13)*(T118-T119)/(1-Project_Register!$AC$13))))</f>
        <v>0</v>
      </c>
      <c r="U120" s="67" t="n">
        <f aca="false">IF(U$5="A",Inputs_Actuals!U78,IF((Project_Register!$AA$13-Project_Register!$X$13)&lt;=0,0,IF(1-Project_Register!$AC$13&lt;=0.000001,IF(Assumptions!U$99=Assumptions!$C$10+1,(Project_Register!$AA$13-Project_Register!$X$13),0),(Project_Register!$AA$13-Project_Register!$X$13)*(U118-U119)/(1-Project_Register!$AC$13))))</f>
        <v>0</v>
      </c>
      <c r="V120" s="67" t="n">
        <f aca="false">IF(V$5="A",Inputs_Actuals!V78,IF((Project_Register!$AA$13-Project_Register!$X$13)&lt;=0,0,IF(1-Project_Register!$AC$13&lt;=0.000001,IF(Assumptions!V$99=Assumptions!$C$10+1,(Project_Register!$AA$13-Project_Register!$X$13),0),(Project_Register!$AA$13-Project_Register!$X$13)*(V118-V119)/(1-Project_Register!$AC$13))))</f>
        <v>0</v>
      </c>
      <c r="W120" s="67" t="n">
        <f aca="false">IF(W$5="A",Inputs_Actuals!W78,IF((Project_Register!$AA$13-Project_Register!$X$13)&lt;=0,0,IF(1-Project_Register!$AC$13&lt;=0.000001,IF(Assumptions!W$99=Assumptions!$C$10+1,(Project_Register!$AA$13-Project_Register!$X$13),0),(Project_Register!$AA$13-Project_Register!$X$13)*(W118-W119)/(1-Project_Register!$AC$13))))</f>
        <v>0</v>
      </c>
      <c r="X120" s="67" t="n">
        <f aca="false">IF(X$5="A",Inputs_Actuals!X78,IF((Project_Register!$AA$13-Project_Register!$X$13)&lt;=0,0,IF(1-Project_Register!$AC$13&lt;=0.000001,IF(Assumptions!X$99=Assumptions!$C$10+1,(Project_Register!$AA$13-Project_Register!$X$13),0),(Project_Register!$AA$13-Project_Register!$X$13)*(X118-X119)/(1-Project_Register!$AC$13))))</f>
        <v>0</v>
      </c>
      <c r="Y120" s="67" t="n">
        <f aca="false">IF(Y$5="A",Inputs_Actuals!Y78,IF((Project_Register!$AA$13-Project_Register!$X$13)&lt;=0,0,IF(1-Project_Register!$AC$13&lt;=0.000001,IF(Assumptions!Y$99=Assumptions!$C$10+1,(Project_Register!$AA$13-Project_Register!$X$13),0),(Project_Register!$AA$13-Project_Register!$X$13)*(Y118-Y119)/(1-Project_Register!$AC$13))))</f>
        <v>0</v>
      </c>
      <c r="Z120" s="67" t="n">
        <f aca="false">IF(Z$5="A",Inputs_Actuals!Z78,IF((Project_Register!$AA$13-Project_Register!$X$13)&lt;=0,0,IF(1-Project_Register!$AC$13&lt;=0.000001,IF(Assumptions!Z$99=Assumptions!$C$10+1,(Project_Register!$AA$13-Project_Register!$X$13),0),(Project_Register!$AA$13-Project_Register!$X$13)*(Z118-Z119)/(1-Project_Register!$AC$13))))</f>
        <v>0</v>
      </c>
      <c r="AA120" s="67" t="n">
        <f aca="false">IF(AA$5="A",Inputs_Actuals!AA78,IF((Project_Register!$AA$13-Project_Register!$X$13)&lt;=0,0,IF(1-Project_Register!$AC$13&lt;=0.000001,IF(Assumptions!AA$99=Assumptions!$C$10+1,(Project_Register!$AA$13-Project_Register!$X$13),0),(Project_Register!$AA$13-Project_Register!$X$13)*(AA118-AA119)/(1-Project_Register!$AC$13))))</f>
        <v>0</v>
      </c>
      <c r="AB120" s="67" t="n">
        <f aca="false">IF(AB$5="A",Inputs_Actuals!AB78,IF((Project_Register!$AA$13-Project_Register!$X$13)&lt;=0,0,IF(1-Project_Register!$AC$13&lt;=0.000001,IF(Assumptions!AB$99=Assumptions!$C$10+1,(Project_Register!$AA$13-Project_Register!$X$13),0),(Project_Register!$AA$13-Project_Register!$X$13)*(AB118-AB119)/(1-Project_Register!$AC$13))))</f>
        <v>0</v>
      </c>
    </row>
    <row r="121" customFormat="false" ht="15" hidden="false" customHeight="false" outlineLevel="0" collapsed="false">
      <c r="A121" s="28" t="s">
        <v>911</v>
      </c>
      <c r="B121" s="58" t="s">
        <v>912</v>
      </c>
      <c r="C121" s="66" t="n">
        <f aca="false">P121</f>
        <v>560</v>
      </c>
      <c r="D121" s="66" t="n">
        <f aca="false">AB121</f>
        <v>560</v>
      </c>
      <c r="E121" s="67" t="n">
        <f aca="false">Project_Register!$P$13+E120</f>
        <v>0</v>
      </c>
      <c r="F121" s="72" t="n">
        <f aca="false">E121+F120</f>
        <v>0</v>
      </c>
      <c r="G121" s="72" t="n">
        <f aca="false">F121+G120</f>
        <v>0</v>
      </c>
      <c r="H121" s="72" t="n">
        <f aca="false">G121+H120</f>
        <v>0</v>
      </c>
      <c r="I121" s="72" t="n">
        <f aca="false">H121+I120</f>
        <v>0</v>
      </c>
      <c r="J121" s="72" t="n">
        <f aca="false">I121+J120</f>
        <v>42.2</v>
      </c>
      <c r="K121" s="72" t="n">
        <f aca="false">J121+K120</f>
        <v>145.8</v>
      </c>
      <c r="L121" s="72" t="n">
        <f aca="false">K121+L120</f>
        <v>275.4</v>
      </c>
      <c r="M121" s="72" t="n">
        <f aca="false">L121+M120</f>
        <v>412.42962962963</v>
      </c>
      <c r="N121" s="72" t="n">
        <f aca="false">M121+N120</f>
        <v>517.837037037037</v>
      </c>
      <c r="O121" s="72" t="n">
        <f aca="false">N121+O120</f>
        <v>560</v>
      </c>
      <c r="P121" s="72" t="n">
        <f aca="false">O121+P120</f>
        <v>560</v>
      </c>
      <c r="Q121" s="72" t="n">
        <f aca="false">P121+Q120</f>
        <v>560</v>
      </c>
      <c r="R121" s="72" t="n">
        <f aca="false">Q121+R120</f>
        <v>560</v>
      </c>
      <c r="S121" s="72" t="n">
        <f aca="false">R121+S120</f>
        <v>560</v>
      </c>
      <c r="T121" s="72" t="n">
        <f aca="false">S121+T120</f>
        <v>560</v>
      </c>
      <c r="U121" s="72" t="n">
        <f aca="false">T121+U120</f>
        <v>560</v>
      </c>
      <c r="V121" s="72" t="n">
        <f aca="false">U121+V120</f>
        <v>560</v>
      </c>
      <c r="W121" s="72" t="n">
        <f aca="false">V121+W120</f>
        <v>560</v>
      </c>
      <c r="X121" s="72" t="n">
        <f aca="false">W121+X120</f>
        <v>560</v>
      </c>
      <c r="Y121" s="72" t="n">
        <f aca="false">X121+Y120</f>
        <v>560</v>
      </c>
      <c r="Z121" s="72" t="n">
        <f aca="false">Y121+Z120</f>
        <v>560</v>
      </c>
      <c r="AA121" s="72" t="n">
        <f aca="false">Z121+AA120</f>
        <v>560</v>
      </c>
      <c r="AB121" s="72" t="n">
        <f aca="false">AA121+AB120</f>
        <v>560</v>
      </c>
    </row>
    <row r="122" customFormat="false" ht="15" hidden="false" customHeight="false" outlineLevel="0" collapsed="false">
      <c r="A122" s="28" t="s">
        <v>913</v>
      </c>
      <c r="B122" s="58" t="s">
        <v>914</v>
      </c>
      <c r="C122" s="66" t="n">
        <f aca="false">P122</f>
        <v>560</v>
      </c>
      <c r="D122" s="66" t="n">
        <f aca="false">AB122</f>
        <v>560</v>
      </c>
      <c r="E122" s="67" t="n">
        <f aca="false">IF(E$5="A",IF(E121+N(Inputs_Actuals!E79)&lt;=0,Project_Register!$AA$13,E121+N(Inputs_Actuals!E79)),Project_Register!$AA$13)</f>
        <v>560</v>
      </c>
      <c r="F122" s="67" t="n">
        <f aca="false">IF(F$5="A",IF(F121+N(Inputs_Actuals!F79)&lt;=0,Project_Register!$AA$13,F121+N(Inputs_Actuals!F79)),Project_Register!$AA$13)</f>
        <v>560</v>
      </c>
      <c r="G122" s="67" t="n">
        <f aca="false">IF(G$5="A",IF(G121+N(Inputs_Actuals!G79)&lt;=0,Project_Register!$AA$13,G121+N(Inputs_Actuals!G79)),Project_Register!$AA$13)</f>
        <v>560</v>
      </c>
      <c r="H122" s="67" t="n">
        <f aca="false">IF(H$5="A",IF(H121+N(Inputs_Actuals!H79)&lt;=0,Project_Register!$AA$13,H121+N(Inputs_Actuals!H79)),Project_Register!$AA$13)</f>
        <v>560</v>
      </c>
      <c r="I122" s="67" t="n">
        <f aca="false">IF(I$5="A",IF(I121+N(Inputs_Actuals!I79)&lt;=0,Project_Register!$AA$13,I121+N(Inputs_Actuals!I79)),Project_Register!$AA$13)</f>
        <v>560</v>
      </c>
      <c r="J122" s="67" t="n">
        <f aca="false">IF(J$5="A",IF(J121+N(Inputs_Actuals!J79)&lt;=0,Project_Register!$AA$13,J121+N(Inputs_Actuals!J79)),Project_Register!$AA$13)</f>
        <v>560</v>
      </c>
      <c r="K122" s="67" t="n">
        <f aca="false">IF(K$5="A",IF(K121+N(Inputs_Actuals!K79)&lt;=0,Project_Register!$AA$13,K121+N(Inputs_Actuals!K79)),Project_Register!$AA$13)</f>
        <v>560</v>
      </c>
      <c r="L122" s="67" t="n">
        <f aca="false">IF(L$5="A",IF(L121+N(Inputs_Actuals!L79)&lt;=0,Project_Register!$AA$13,L121+N(Inputs_Actuals!L79)),Project_Register!$AA$13)</f>
        <v>560</v>
      </c>
      <c r="M122" s="67" t="n">
        <f aca="false">IF(M$5="A",IF(M121+N(Inputs_Actuals!M79)&lt;=0,Project_Register!$AA$13,M121+N(Inputs_Actuals!M79)),Project_Register!$AA$13)</f>
        <v>560</v>
      </c>
      <c r="N122" s="67" t="n">
        <f aca="false">IF(N$5="A",IF(N121+N(Inputs_Actuals!N79)&lt;=0,Project_Register!$AA$13,N121+N(Inputs_Actuals!N79)),Project_Register!$AA$13)</f>
        <v>560</v>
      </c>
      <c r="O122" s="67" t="n">
        <f aca="false">IF(O$5="A",IF(O121+N(Inputs_Actuals!O79)&lt;=0,Project_Register!$AA$13,O121+N(Inputs_Actuals!O79)),Project_Register!$AA$13)</f>
        <v>560</v>
      </c>
      <c r="P122" s="67" t="n">
        <f aca="false">IF(P$5="A",IF(P121+N(Inputs_Actuals!P79)&lt;=0,Project_Register!$AA$13,P121+N(Inputs_Actuals!P79)),Project_Register!$AA$13)</f>
        <v>560</v>
      </c>
      <c r="Q122" s="67" t="n">
        <f aca="false">IF(Q$5="A",IF(Q121+N(Inputs_Actuals!Q79)&lt;=0,Project_Register!$AA$13,Q121+N(Inputs_Actuals!Q79)),Project_Register!$AA$13)</f>
        <v>560</v>
      </c>
      <c r="R122" s="67" t="n">
        <f aca="false">IF(R$5="A",IF(R121+N(Inputs_Actuals!R79)&lt;=0,Project_Register!$AA$13,R121+N(Inputs_Actuals!R79)),Project_Register!$AA$13)</f>
        <v>560</v>
      </c>
      <c r="S122" s="67" t="n">
        <f aca="false">IF(S$5="A",IF(S121+N(Inputs_Actuals!S79)&lt;=0,Project_Register!$AA$13,S121+N(Inputs_Actuals!S79)),Project_Register!$AA$13)</f>
        <v>560</v>
      </c>
      <c r="T122" s="67" t="n">
        <f aca="false">IF(T$5="A",IF(T121+N(Inputs_Actuals!T79)&lt;=0,Project_Register!$AA$13,T121+N(Inputs_Actuals!T79)),Project_Register!$AA$13)</f>
        <v>560</v>
      </c>
      <c r="U122" s="67" t="n">
        <f aca="false">IF(U$5="A",IF(U121+N(Inputs_Actuals!U79)&lt;=0,Project_Register!$AA$13,U121+N(Inputs_Actuals!U79)),Project_Register!$AA$13)</f>
        <v>560</v>
      </c>
      <c r="V122" s="67" t="n">
        <f aca="false">IF(V$5="A",IF(V121+N(Inputs_Actuals!V79)&lt;=0,Project_Register!$AA$13,V121+N(Inputs_Actuals!V79)),Project_Register!$AA$13)</f>
        <v>560</v>
      </c>
      <c r="W122" s="67" t="n">
        <f aca="false">IF(W$5="A",IF(W121+N(Inputs_Actuals!W79)&lt;=0,Project_Register!$AA$13,W121+N(Inputs_Actuals!W79)),Project_Register!$AA$13)</f>
        <v>560</v>
      </c>
      <c r="X122" s="67" t="n">
        <f aca="false">IF(X$5="A",IF(X121+N(Inputs_Actuals!X79)&lt;=0,Project_Register!$AA$13,X121+N(Inputs_Actuals!X79)),Project_Register!$AA$13)</f>
        <v>560</v>
      </c>
      <c r="Y122" s="67" t="n">
        <f aca="false">IF(Y$5="A",IF(Y121+N(Inputs_Actuals!Y79)&lt;=0,Project_Register!$AA$13,Y121+N(Inputs_Actuals!Y79)),Project_Register!$AA$13)</f>
        <v>560</v>
      </c>
      <c r="Z122" s="67" t="n">
        <f aca="false">IF(Z$5="A",IF(Z121+N(Inputs_Actuals!Z79)&lt;=0,Project_Register!$AA$13,Z121+N(Inputs_Actuals!Z79)),Project_Register!$AA$13)</f>
        <v>560</v>
      </c>
      <c r="AA122" s="67" t="n">
        <f aca="false">IF(AA$5="A",IF(AA121+N(Inputs_Actuals!AA79)&lt;=0,Project_Register!$AA$13,AA121+N(Inputs_Actuals!AA79)),Project_Register!$AA$13)</f>
        <v>560</v>
      </c>
      <c r="AB122" s="67" t="n">
        <f aca="false">IF(AB$5="A",IF(AB121+N(Inputs_Actuals!AB79)&lt;=0,Project_Register!$AA$13,AB121+N(Inputs_Actuals!AB79)),Project_Register!$AA$13)</f>
        <v>560</v>
      </c>
    </row>
    <row r="123" customFormat="false" ht="15" hidden="false" customHeight="false" outlineLevel="0" collapsed="false">
      <c r="A123" s="28" t="s">
        <v>915</v>
      </c>
      <c r="B123" s="58" t="s">
        <v>916</v>
      </c>
      <c r="C123" s="61" t="n">
        <f aca="false">P123</f>
        <v>1</v>
      </c>
      <c r="D123" s="61" t="n">
        <f aca="false">AB123</f>
        <v>1</v>
      </c>
      <c r="E123" s="62" t="n">
        <f aca="false">IF(E122&lt;=0,0,MIN(1,E121/E122))</f>
        <v>0</v>
      </c>
      <c r="F123" s="62" t="n">
        <f aca="false">IF(F122&lt;=0,0,MIN(1,F121/F122))</f>
        <v>0</v>
      </c>
      <c r="G123" s="62" t="n">
        <f aca="false">IF(G122&lt;=0,0,MIN(1,G121/G122))</f>
        <v>0</v>
      </c>
      <c r="H123" s="62" t="n">
        <f aca="false">IF(H122&lt;=0,0,MIN(1,H121/H122))</f>
        <v>0</v>
      </c>
      <c r="I123" s="62" t="n">
        <f aca="false">IF(I122&lt;=0,0,MIN(1,I121/I122))</f>
        <v>0</v>
      </c>
      <c r="J123" s="62" t="n">
        <f aca="false">IF(J122&lt;=0,0,MIN(1,J121/J122))</f>
        <v>0.0753571428571429</v>
      </c>
      <c r="K123" s="62" t="n">
        <f aca="false">IF(K122&lt;=0,0,MIN(1,K121/K122))</f>
        <v>0.260357142857143</v>
      </c>
      <c r="L123" s="62" t="n">
        <f aca="false">IF(L122&lt;=0,0,MIN(1,L121/L122))</f>
        <v>0.491785714285714</v>
      </c>
      <c r="M123" s="62" t="n">
        <f aca="false">IF(M122&lt;=0,0,MIN(1,M121/M122))</f>
        <v>0.736481481481482</v>
      </c>
      <c r="N123" s="62" t="n">
        <f aca="false">IF(N122&lt;=0,0,MIN(1,N121/N122))</f>
        <v>0.924708994708995</v>
      </c>
      <c r="O123" s="62" t="n">
        <f aca="false">IF(O122&lt;=0,0,MIN(1,O121/O122))</f>
        <v>1</v>
      </c>
      <c r="P123" s="62" t="n">
        <f aca="false">IF(P122&lt;=0,0,MIN(1,P121/P122))</f>
        <v>1</v>
      </c>
      <c r="Q123" s="62" t="n">
        <f aca="false">IF(Q122&lt;=0,0,MIN(1,Q121/Q122))</f>
        <v>1</v>
      </c>
      <c r="R123" s="62" t="n">
        <f aca="false">IF(R122&lt;=0,0,MIN(1,R121/R122))</f>
        <v>1</v>
      </c>
      <c r="S123" s="62" t="n">
        <f aca="false">IF(S122&lt;=0,0,MIN(1,S121/S122))</f>
        <v>1</v>
      </c>
      <c r="T123" s="62" t="n">
        <f aca="false">IF(T122&lt;=0,0,MIN(1,T121/T122))</f>
        <v>1</v>
      </c>
      <c r="U123" s="62" t="n">
        <f aca="false">IF(U122&lt;=0,0,MIN(1,U121/U122))</f>
        <v>1</v>
      </c>
      <c r="V123" s="62" t="n">
        <f aca="false">IF(V122&lt;=0,0,MIN(1,V121/V122))</f>
        <v>1</v>
      </c>
      <c r="W123" s="62" t="n">
        <f aca="false">IF(W122&lt;=0,0,MIN(1,W121/W122))</f>
        <v>1</v>
      </c>
      <c r="X123" s="62" t="n">
        <f aca="false">IF(X122&lt;=0,0,MIN(1,X121/X122))</f>
        <v>1</v>
      </c>
      <c r="Y123" s="62" t="n">
        <f aca="false">IF(Y122&lt;=0,0,MIN(1,Y121/Y122))</f>
        <v>1</v>
      </c>
      <c r="Z123" s="62" t="n">
        <f aca="false">IF(Z122&lt;=0,0,MIN(1,Z121/Z122))</f>
        <v>1</v>
      </c>
      <c r="AA123" s="62" t="n">
        <f aca="false">IF(AA122&lt;=0,0,MIN(1,AA121/AA122))</f>
        <v>1</v>
      </c>
      <c r="AB123" s="62" t="n">
        <f aca="false">IF(AB122&lt;=0,0,MIN(1,AB121/AB122))</f>
        <v>1</v>
      </c>
    </row>
    <row r="124" customFormat="false" ht="15" hidden="false" customHeight="false" outlineLevel="0" collapsed="false">
      <c r="A124" s="28" t="s">
        <v>917</v>
      </c>
      <c r="B124" s="58" t="s">
        <v>918</v>
      </c>
      <c r="C124" s="59" t="n">
        <f aca="false">P124</f>
        <v>56000</v>
      </c>
      <c r="D124" s="59" t="n">
        <f aca="false">AB124</f>
        <v>56000</v>
      </c>
      <c r="E124" s="60" t="n">
        <f aca="false">IF(E$5="A",N(Inputs_Actuals!E80),Project_Register!$W$13)</f>
        <v>0</v>
      </c>
      <c r="F124" s="60" t="n">
        <f aca="false">IF(F$5="A",N(Inputs_Actuals!F80),Project_Register!$W$13)</f>
        <v>0</v>
      </c>
      <c r="G124" s="60" t="n">
        <f aca="false">IF(G$5="A",N(Inputs_Actuals!G80),Project_Register!$W$13)</f>
        <v>0</v>
      </c>
      <c r="H124" s="60" t="n">
        <f aca="false">IF(H$5="A",N(Inputs_Actuals!H80),Project_Register!$W$13)</f>
        <v>0</v>
      </c>
      <c r="I124" s="60" t="n">
        <f aca="false">IF(I$5="A",N(Inputs_Actuals!I80),Project_Register!$W$13)</f>
        <v>0</v>
      </c>
      <c r="J124" s="60" t="n">
        <f aca="false">IF(J$5="A",N(Inputs_Actuals!J80),Project_Register!$W$13)</f>
        <v>56000</v>
      </c>
      <c r="K124" s="60" t="n">
        <f aca="false">IF(K$5="A",N(Inputs_Actuals!K80),Project_Register!$W$13)</f>
        <v>56000</v>
      </c>
      <c r="L124" s="60" t="n">
        <f aca="false">IF(L$5="A",N(Inputs_Actuals!L80),Project_Register!$W$13)</f>
        <v>56000</v>
      </c>
      <c r="M124" s="60" t="n">
        <f aca="false">IF(M$5="A",N(Inputs_Actuals!M80),Project_Register!$W$13)</f>
        <v>56000</v>
      </c>
      <c r="N124" s="60" t="n">
        <f aca="false">IF(N$5="A",N(Inputs_Actuals!N80),Project_Register!$W$13)</f>
        <v>56000</v>
      </c>
      <c r="O124" s="60" t="n">
        <f aca="false">IF(O$5="A",N(Inputs_Actuals!O80),Project_Register!$W$13)</f>
        <v>56000</v>
      </c>
      <c r="P124" s="60" t="n">
        <f aca="false">IF(P$5="A",N(Inputs_Actuals!P80),Project_Register!$W$13)</f>
        <v>56000</v>
      </c>
      <c r="Q124" s="60" t="n">
        <f aca="false">IF(Q$5="A",N(Inputs_Actuals!Q80),Project_Register!$W$13)</f>
        <v>56000</v>
      </c>
      <c r="R124" s="60" t="n">
        <f aca="false">IF(R$5="A",N(Inputs_Actuals!R80),Project_Register!$W$13)</f>
        <v>56000</v>
      </c>
      <c r="S124" s="60" t="n">
        <f aca="false">IF(S$5="A",N(Inputs_Actuals!S80),Project_Register!$W$13)</f>
        <v>56000</v>
      </c>
      <c r="T124" s="60" t="n">
        <f aca="false">IF(T$5="A",N(Inputs_Actuals!T80),Project_Register!$W$13)</f>
        <v>56000</v>
      </c>
      <c r="U124" s="60" t="n">
        <f aca="false">IF(U$5="A",N(Inputs_Actuals!U80),Project_Register!$W$13)</f>
        <v>56000</v>
      </c>
      <c r="V124" s="60" t="n">
        <f aca="false">IF(V$5="A",N(Inputs_Actuals!V80),Project_Register!$W$13)</f>
        <v>56000</v>
      </c>
      <c r="W124" s="60" t="n">
        <f aca="false">IF(W$5="A",N(Inputs_Actuals!W80),Project_Register!$W$13)</f>
        <v>56000</v>
      </c>
      <c r="X124" s="60" t="n">
        <f aca="false">IF(X$5="A",N(Inputs_Actuals!X80),Project_Register!$W$13)</f>
        <v>56000</v>
      </c>
      <c r="Y124" s="60" t="n">
        <f aca="false">IF(Y$5="A",N(Inputs_Actuals!Y80),Project_Register!$W$13)</f>
        <v>56000</v>
      </c>
      <c r="Z124" s="60" t="n">
        <f aca="false">IF(Z$5="A",N(Inputs_Actuals!Z80),Project_Register!$W$13)</f>
        <v>56000</v>
      </c>
      <c r="AA124" s="60" t="n">
        <f aca="false">IF(AA$5="A",N(Inputs_Actuals!AA80),Project_Register!$W$13)</f>
        <v>56000</v>
      </c>
      <c r="AB124" s="60" t="n">
        <f aca="false">IF(AB$5="A",N(Inputs_Actuals!AB80),Project_Register!$W$13)</f>
        <v>56000</v>
      </c>
    </row>
    <row r="125" customFormat="false" ht="15" hidden="false" customHeight="false" outlineLevel="0" collapsed="false">
      <c r="A125" s="28" t="s">
        <v>919</v>
      </c>
      <c r="B125" s="58" t="s">
        <v>920</v>
      </c>
      <c r="C125" s="59" t="n">
        <f aca="false">P125</f>
        <v>56000</v>
      </c>
      <c r="D125" s="59" t="n">
        <f aca="false">AB125</f>
        <v>56000</v>
      </c>
      <c r="E125" s="60" t="n">
        <f aca="false">IF(E$5="A",Project_Register!$Q$13+Inputs_Actuals!E81,E123*E124)</f>
        <v>0</v>
      </c>
      <c r="F125" s="60" t="n">
        <f aca="false">IF(F$5="A",E125+Inputs_Actuals!F81,F123*F124)</f>
        <v>0</v>
      </c>
      <c r="G125" s="60" t="n">
        <f aca="false">IF(G$5="A",F125+Inputs_Actuals!G81,G123*G124)</f>
        <v>0</v>
      </c>
      <c r="H125" s="60" t="n">
        <f aca="false">IF(H$5="A",G125+Inputs_Actuals!H81,H123*H124)</f>
        <v>0</v>
      </c>
      <c r="I125" s="60" t="n">
        <f aca="false">IF(I$5="A",H125+Inputs_Actuals!I81,I123*I124)</f>
        <v>0</v>
      </c>
      <c r="J125" s="60" t="n">
        <f aca="false">IF(J$5="A",I125+Inputs_Actuals!J81,J123*J124)</f>
        <v>4220</v>
      </c>
      <c r="K125" s="60" t="n">
        <f aca="false">IF(K$5="A",J125+Inputs_Actuals!K81,K123*K124)</f>
        <v>14580</v>
      </c>
      <c r="L125" s="60" t="n">
        <f aca="false">IF(L$5="A",K125+Inputs_Actuals!L81,L123*L124)</f>
        <v>27540</v>
      </c>
      <c r="M125" s="60" t="n">
        <f aca="false">IF(M$5="A",L125+Inputs_Actuals!M81,M123*M124)</f>
        <v>41242.962962963</v>
      </c>
      <c r="N125" s="60" t="n">
        <f aca="false">IF(N$5="A",M125+Inputs_Actuals!N81,N123*N124)</f>
        <v>51783.7037037037</v>
      </c>
      <c r="O125" s="60" t="n">
        <f aca="false">IF(O$5="A",N125+Inputs_Actuals!O81,O123*O124)</f>
        <v>56000</v>
      </c>
      <c r="P125" s="60" t="n">
        <f aca="false">IF(P$5="A",O125+Inputs_Actuals!P81,P123*P124)</f>
        <v>56000</v>
      </c>
      <c r="Q125" s="60" t="n">
        <f aca="false">IF(Q$5="A",P125+Inputs_Actuals!Q81,Q123*Q124)</f>
        <v>56000</v>
      </c>
      <c r="R125" s="60" t="n">
        <f aca="false">IF(R$5="A",Q125+Inputs_Actuals!R81,R123*R124)</f>
        <v>56000</v>
      </c>
      <c r="S125" s="60" t="n">
        <f aca="false">IF(S$5="A",R125+Inputs_Actuals!S81,S123*S124)</f>
        <v>56000</v>
      </c>
      <c r="T125" s="60" t="n">
        <f aca="false">IF(T$5="A",S125+Inputs_Actuals!T81,T123*T124)</f>
        <v>56000</v>
      </c>
      <c r="U125" s="60" t="n">
        <f aca="false">IF(U$5="A",T125+Inputs_Actuals!U81,U123*U124)</f>
        <v>56000</v>
      </c>
      <c r="V125" s="60" t="n">
        <f aca="false">IF(V$5="A",U125+Inputs_Actuals!V81,V123*V124)</f>
        <v>56000</v>
      </c>
      <c r="W125" s="60" t="n">
        <f aca="false">IF(W$5="A",V125+Inputs_Actuals!W81,W123*W124)</f>
        <v>56000</v>
      </c>
      <c r="X125" s="60" t="n">
        <f aca="false">IF(X$5="A",W125+Inputs_Actuals!X81,X123*X124)</f>
        <v>56000</v>
      </c>
      <c r="Y125" s="60" t="n">
        <f aca="false">IF(Y$5="A",X125+Inputs_Actuals!Y81,Y123*Y124)</f>
        <v>56000</v>
      </c>
      <c r="Z125" s="60" t="n">
        <f aca="false">IF(Z$5="A",Y125+Inputs_Actuals!Z81,Z123*Z124)</f>
        <v>56000</v>
      </c>
      <c r="AA125" s="60" t="n">
        <f aca="false">IF(AA$5="A",Z125+Inputs_Actuals!AA81,AA123*AA124)</f>
        <v>56000</v>
      </c>
      <c r="AB125" s="60" t="n">
        <f aca="false">IF(AB$5="A",AA125+Inputs_Actuals!AB81,AB123*AB124)</f>
        <v>56000</v>
      </c>
    </row>
    <row r="126" customFormat="false" ht="15" hidden="false" customHeight="false" outlineLevel="0" collapsed="false">
      <c r="A126" s="68" t="s">
        <v>934</v>
      </c>
      <c r="B126" s="69" t="s">
        <v>922</v>
      </c>
      <c r="C126" s="70" t="n">
        <f aca="false">SUM(E126:P126)</f>
        <v>56000</v>
      </c>
      <c r="D126" s="70" t="n">
        <f aca="false">SUM(Q126:AB126)</f>
        <v>0</v>
      </c>
      <c r="E126" s="74" t="n">
        <f aca="false">E125-Project_Register!$Q$13</f>
        <v>0</v>
      </c>
      <c r="F126" s="70" t="n">
        <f aca="false">F125-E125</f>
        <v>0</v>
      </c>
      <c r="G126" s="70" t="n">
        <f aca="false">G125-F125</f>
        <v>0</v>
      </c>
      <c r="H126" s="70" t="n">
        <f aca="false">H125-G125</f>
        <v>0</v>
      </c>
      <c r="I126" s="70" t="n">
        <f aca="false">I125-H125</f>
        <v>0</v>
      </c>
      <c r="J126" s="70" t="n">
        <f aca="false">J125-I125</f>
        <v>4220</v>
      </c>
      <c r="K126" s="70" t="n">
        <f aca="false">K125-J125</f>
        <v>10360</v>
      </c>
      <c r="L126" s="70" t="n">
        <f aca="false">L125-K125</f>
        <v>12960</v>
      </c>
      <c r="M126" s="70" t="n">
        <f aca="false">M125-L125</f>
        <v>13702.962962963</v>
      </c>
      <c r="N126" s="70" t="n">
        <f aca="false">N125-M125</f>
        <v>10540.7407407407</v>
      </c>
      <c r="O126" s="70" t="n">
        <f aca="false">O125-N125</f>
        <v>4216.29629629629</v>
      </c>
      <c r="P126" s="70" t="n">
        <f aca="false">P125-O125</f>
        <v>0</v>
      </c>
      <c r="Q126" s="70" t="n">
        <f aca="false">Q125-P125</f>
        <v>0</v>
      </c>
      <c r="R126" s="70" t="n">
        <f aca="false">R125-Q125</f>
        <v>0</v>
      </c>
      <c r="S126" s="70" t="n">
        <f aca="false">S125-R125</f>
        <v>0</v>
      </c>
      <c r="T126" s="70" t="n">
        <f aca="false">T125-S125</f>
        <v>0</v>
      </c>
      <c r="U126" s="70" t="n">
        <f aca="false">U125-T125</f>
        <v>0</v>
      </c>
      <c r="V126" s="70" t="n">
        <f aca="false">V125-U125</f>
        <v>0</v>
      </c>
      <c r="W126" s="70" t="n">
        <f aca="false">W125-V125</f>
        <v>0</v>
      </c>
      <c r="X126" s="70" t="n">
        <f aca="false">X125-W125</f>
        <v>0</v>
      </c>
      <c r="Y126" s="70" t="n">
        <f aca="false">Y125-X125</f>
        <v>0</v>
      </c>
      <c r="Z126" s="70" t="n">
        <f aca="false">Z125-Y125</f>
        <v>0</v>
      </c>
      <c r="AA126" s="70" t="n">
        <f aca="false">AA125-Z125</f>
        <v>0</v>
      </c>
      <c r="AB126" s="70" t="n">
        <f aca="false">AB125-AA125</f>
        <v>0</v>
      </c>
    </row>
    <row r="127" customFormat="false" ht="15" hidden="false" customHeight="false" outlineLevel="0" collapsed="false">
      <c r="A127" s="28" t="s">
        <v>923</v>
      </c>
      <c r="B127" s="58" t="s">
        <v>924</v>
      </c>
      <c r="C127" s="59" t="n">
        <f aca="false">P127</f>
        <v>56000</v>
      </c>
      <c r="D127" s="59" t="n">
        <f aca="false">AB127</f>
        <v>56000</v>
      </c>
      <c r="E127" s="60" t="n">
        <f aca="false">E124*(Assumptions!$C$71*(Assumptions!E$99&gt;=Project_Register!$T$13)+Assumptions!$C$72*(Assumptions!E$99&gt;=Project_Register!$V$13)+Assumptions!$C$73*(Assumptions!E$99&gt;=Project_Register!$U$13))</f>
        <v>0</v>
      </c>
      <c r="F127" s="60" t="n">
        <f aca="false">F124*(Assumptions!$C$71*(Assumptions!F$99&gt;=Project_Register!$T$13)+Assumptions!$C$72*(Assumptions!F$99&gt;=Project_Register!$V$13)+Assumptions!$C$73*(Assumptions!F$99&gt;=Project_Register!$U$13))</f>
        <v>0</v>
      </c>
      <c r="G127" s="60" t="n">
        <f aca="false">G124*(Assumptions!$C$71*(Assumptions!G$99&gt;=Project_Register!$T$13)+Assumptions!$C$72*(Assumptions!G$99&gt;=Project_Register!$V$13)+Assumptions!$C$73*(Assumptions!G$99&gt;=Project_Register!$U$13))</f>
        <v>0</v>
      </c>
      <c r="H127" s="60" t="n">
        <f aca="false">H124*(Assumptions!$C$71*(Assumptions!H$99&gt;=Project_Register!$T$13)+Assumptions!$C$72*(Assumptions!H$99&gt;=Project_Register!$V$13)+Assumptions!$C$73*(Assumptions!H$99&gt;=Project_Register!$U$13))</f>
        <v>0</v>
      </c>
      <c r="I127" s="60" t="n">
        <f aca="false">I124*(Assumptions!$C$71*(Assumptions!I$99&gt;=Project_Register!$T$13)+Assumptions!$C$72*(Assumptions!I$99&gt;=Project_Register!$V$13)+Assumptions!$C$73*(Assumptions!I$99&gt;=Project_Register!$U$13))</f>
        <v>0</v>
      </c>
      <c r="J127" s="60" t="n">
        <f aca="false">J124*(Assumptions!$C$71*(Assumptions!J$99&gt;=Project_Register!$T$13)+Assumptions!$C$72*(Assumptions!J$99&gt;=Project_Register!$V$13)+Assumptions!$C$73*(Assumptions!J$99&gt;=Project_Register!$U$13))</f>
        <v>16800</v>
      </c>
      <c r="K127" s="60" t="n">
        <f aca="false">K124*(Assumptions!$C$71*(Assumptions!K$99&gt;=Project_Register!$T$13)+Assumptions!$C$72*(Assumptions!K$99&gt;=Project_Register!$V$13)+Assumptions!$C$73*(Assumptions!K$99&gt;=Project_Register!$U$13))</f>
        <v>16800</v>
      </c>
      <c r="L127" s="60" t="n">
        <f aca="false">L124*(Assumptions!$C$71*(Assumptions!L$99&gt;=Project_Register!$T$13)+Assumptions!$C$72*(Assumptions!L$99&gt;=Project_Register!$V$13)+Assumptions!$C$73*(Assumptions!L$99&gt;=Project_Register!$U$13))</f>
        <v>16800</v>
      </c>
      <c r="M127" s="60" t="n">
        <f aca="false">M124*(Assumptions!$C$71*(Assumptions!M$99&gt;=Project_Register!$T$13)+Assumptions!$C$72*(Assumptions!M$99&gt;=Project_Register!$V$13)+Assumptions!$C$73*(Assumptions!M$99&gt;=Project_Register!$U$13))</f>
        <v>39200</v>
      </c>
      <c r="N127" s="60" t="n">
        <f aca="false">N124*(Assumptions!$C$71*(Assumptions!N$99&gt;=Project_Register!$T$13)+Assumptions!$C$72*(Assumptions!N$99&gt;=Project_Register!$V$13)+Assumptions!$C$73*(Assumptions!N$99&gt;=Project_Register!$U$13))</f>
        <v>39200</v>
      </c>
      <c r="O127" s="60" t="n">
        <f aca="false">O124*(Assumptions!$C$71*(Assumptions!O$99&gt;=Project_Register!$T$13)+Assumptions!$C$72*(Assumptions!O$99&gt;=Project_Register!$V$13)+Assumptions!$C$73*(Assumptions!O$99&gt;=Project_Register!$U$13))</f>
        <v>56000</v>
      </c>
      <c r="P127" s="60" t="n">
        <f aca="false">P124*(Assumptions!$C$71*(Assumptions!P$99&gt;=Project_Register!$T$13)+Assumptions!$C$72*(Assumptions!P$99&gt;=Project_Register!$V$13)+Assumptions!$C$73*(Assumptions!P$99&gt;=Project_Register!$U$13))</f>
        <v>56000</v>
      </c>
      <c r="Q127" s="60" t="n">
        <f aca="false">Q124*(Assumptions!$C$71*(Assumptions!Q$99&gt;=Project_Register!$T$13)+Assumptions!$C$72*(Assumptions!Q$99&gt;=Project_Register!$V$13)+Assumptions!$C$73*(Assumptions!Q$99&gt;=Project_Register!$U$13))</f>
        <v>56000</v>
      </c>
      <c r="R127" s="60" t="n">
        <f aca="false">R124*(Assumptions!$C$71*(Assumptions!R$99&gt;=Project_Register!$T$13)+Assumptions!$C$72*(Assumptions!R$99&gt;=Project_Register!$V$13)+Assumptions!$C$73*(Assumptions!R$99&gt;=Project_Register!$U$13))</f>
        <v>56000</v>
      </c>
      <c r="S127" s="60" t="n">
        <f aca="false">S124*(Assumptions!$C$71*(Assumptions!S$99&gt;=Project_Register!$T$13)+Assumptions!$C$72*(Assumptions!S$99&gt;=Project_Register!$V$13)+Assumptions!$C$73*(Assumptions!S$99&gt;=Project_Register!$U$13))</f>
        <v>56000</v>
      </c>
      <c r="T127" s="60" t="n">
        <f aca="false">T124*(Assumptions!$C$71*(Assumptions!T$99&gt;=Project_Register!$T$13)+Assumptions!$C$72*(Assumptions!T$99&gt;=Project_Register!$V$13)+Assumptions!$C$73*(Assumptions!T$99&gt;=Project_Register!$U$13))</f>
        <v>56000</v>
      </c>
      <c r="U127" s="60" t="n">
        <f aca="false">U124*(Assumptions!$C$71*(Assumptions!U$99&gt;=Project_Register!$T$13)+Assumptions!$C$72*(Assumptions!U$99&gt;=Project_Register!$V$13)+Assumptions!$C$73*(Assumptions!U$99&gt;=Project_Register!$U$13))</f>
        <v>56000</v>
      </c>
      <c r="V127" s="60" t="n">
        <f aca="false">V124*(Assumptions!$C$71*(Assumptions!V$99&gt;=Project_Register!$T$13)+Assumptions!$C$72*(Assumptions!V$99&gt;=Project_Register!$V$13)+Assumptions!$C$73*(Assumptions!V$99&gt;=Project_Register!$U$13))</f>
        <v>56000</v>
      </c>
      <c r="W127" s="60" t="n">
        <f aca="false">W124*(Assumptions!$C$71*(Assumptions!W$99&gt;=Project_Register!$T$13)+Assumptions!$C$72*(Assumptions!W$99&gt;=Project_Register!$V$13)+Assumptions!$C$73*(Assumptions!W$99&gt;=Project_Register!$U$13))</f>
        <v>56000</v>
      </c>
      <c r="X127" s="60" t="n">
        <f aca="false">X124*(Assumptions!$C$71*(Assumptions!X$99&gt;=Project_Register!$T$13)+Assumptions!$C$72*(Assumptions!X$99&gt;=Project_Register!$V$13)+Assumptions!$C$73*(Assumptions!X$99&gt;=Project_Register!$U$13))</f>
        <v>56000</v>
      </c>
      <c r="Y127" s="60" t="n">
        <f aca="false">Y124*(Assumptions!$C$71*(Assumptions!Y$99&gt;=Project_Register!$T$13)+Assumptions!$C$72*(Assumptions!Y$99&gt;=Project_Register!$V$13)+Assumptions!$C$73*(Assumptions!Y$99&gt;=Project_Register!$U$13))</f>
        <v>56000</v>
      </c>
      <c r="Z127" s="60" t="n">
        <f aca="false">Z124*(Assumptions!$C$71*(Assumptions!Z$99&gt;=Project_Register!$T$13)+Assumptions!$C$72*(Assumptions!Z$99&gt;=Project_Register!$V$13)+Assumptions!$C$73*(Assumptions!Z$99&gt;=Project_Register!$U$13))</f>
        <v>56000</v>
      </c>
      <c r="AA127" s="60" t="n">
        <f aca="false">AA124*(Assumptions!$C$71*(Assumptions!AA$99&gt;=Project_Register!$T$13)+Assumptions!$C$72*(Assumptions!AA$99&gt;=Project_Register!$V$13)+Assumptions!$C$73*(Assumptions!AA$99&gt;=Project_Register!$U$13))</f>
        <v>56000</v>
      </c>
      <c r="AB127" s="60" t="n">
        <f aca="false">AB124*(Assumptions!$C$71*(Assumptions!AB$99&gt;=Project_Register!$T$13)+Assumptions!$C$72*(Assumptions!AB$99&gt;=Project_Register!$V$13)+Assumptions!$C$73*(Assumptions!AB$99&gt;=Project_Register!$U$13))</f>
        <v>56000</v>
      </c>
    </row>
    <row r="128" customFormat="false" ht="15" hidden="false" customHeight="false" outlineLevel="0" collapsed="false">
      <c r="A128" s="28" t="s">
        <v>925</v>
      </c>
      <c r="B128" s="58" t="s">
        <v>926</v>
      </c>
      <c r="C128" s="59" t="n">
        <f aca="false">SUM(E128:P128)</f>
        <v>56000</v>
      </c>
      <c r="D128" s="59" t="n">
        <f aca="false">SUM(Q128:AB128)</f>
        <v>0</v>
      </c>
      <c r="E128" s="60" t="n">
        <f aca="false">IF(E$5="A",Inputs_Actuals!E82,MAX(0,E127-Project_Register!$R$13))</f>
        <v>0</v>
      </c>
      <c r="F128" s="60" t="n">
        <f aca="false">IF(F$5="A",Inputs_Actuals!F82,MAX(0,F127-E129))</f>
        <v>0</v>
      </c>
      <c r="G128" s="60" t="n">
        <f aca="false">IF(G$5="A",Inputs_Actuals!G82,MAX(0,G127-F129))</f>
        <v>0</v>
      </c>
      <c r="H128" s="60" t="n">
        <f aca="false">IF(H$5="A",Inputs_Actuals!H82,MAX(0,H127-G129))</f>
        <v>0</v>
      </c>
      <c r="I128" s="60" t="n">
        <f aca="false">IF(I$5="A",Inputs_Actuals!I82,MAX(0,I127-H129))</f>
        <v>0</v>
      </c>
      <c r="J128" s="60" t="n">
        <f aca="false">IF(J$5="A",Inputs_Actuals!J82,MAX(0,J127-I129))</f>
        <v>16800</v>
      </c>
      <c r="K128" s="60" t="n">
        <f aca="false">IF(K$5="A",Inputs_Actuals!K82,MAX(0,K127-J129))</f>
        <v>0</v>
      </c>
      <c r="L128" s="60" t="n">
        <f aca="false">IF(L$5="A",Inputs_Actuals!L82,MAX(0,L127-K129))</f>
        <v>0</v>
      </c>
      <c r="M128" s="60" t="n">
        <f aca="false">IF(M$5="A",Inputs_Actuals!M82,MAX(0,M127-L129))</f>
        <v>22400</v>
      </c>
      <c r="N128" s="60" t="n">
        <f aca="false">IF(N$5="A",Inputs_Actuals!N82,MAX(0,N127-M129))</f>
        <v>0</v>
      </c>
      <c r="O128" s="60" t="n">
        <f aca="false">IF(O$5="A",Inputs_Actuals!O82,MAX(0,O127-N129))</f>
        <v>16800</v>
      </c>
      <c r="P128" s="60" t="n">
        <f aca="false">IF(P$5="A",Inputs_Actuals!P82,MAX(0,P127-O129))</f>
        <v>0</v>
      </c>
      <c r="Q128" s="60" t="n">
        <f aca="false">IF(Q$5="A",Inputs_Actuals!Q82,MAX(0,Q127-P129))</f>
        <v>0</v>
      </c>
      <c r="R128" s="60" t="n">
        <f aca="false">IF(R$5="A",Inputs_Actuals!R82,MAX(0,R127-Q129))</f>
        <v>0</v>
      </c>
      <c r="S128" s="60" t="n">
        <f aca="false">IF(S$5="A",Inputs_Actuals!S82,MAX(0,S127-R129))</f>
        <v>0</v>
      </c>
      <c r="T128" s="60" t="n">
        <f aca="false">IF(T$5="A",Inputs_Actuals!T82,MAX(0,T127-S129))</f>
        <v>0</v>
      </c>
      <c r="U128" s="60" t="n">
        <f aca="false">IF(U$5="A",Inputs_Actuals!U82,MAX(0,U127-T129))</f>
        <v>0</v>
      </c>
      <c r="V128" s="60" t="n">
        <f aca="false">IF(V$5="A",Inputs_Actuals!V82,MAX(0,V127-U129))</f>
        <v>0</v>
      </c>
      <c r="W128" s="60" t="n">
        <f aca="false">IF(W$5="A",Inputs_Actuals!W82,MAX(0,W127-V129))</f>
        <v>0</v>
      </c>
      <c r="X128" s="60" t="n">
        <f aca="false">IF(X$5="A",Inputs_Actuals!X82,MAX(0,X127-W129))</f>
        <v>0</v>
      </c>
      <c r="Y128" s="60" t="n">
        <f aca="false">IF(Y$5="A",Inputs_Actuals!Y82,MAX(0,Y127-X129))</f>
        <v>0</v>
      </c>
      <c r="Z128" s="60" t="n">
        <f aca="false">IF(Z$5="A",Inputs_Actuals!Z82,MAX(0,Z127-Y129))</f>
        <v>0</v>
      </c>
      <c r="AA128" s="60" t="n">
        <f aca="false">IF(AA$5="A",Inputs_Actuals!AA82,MAX(0,AA127-Z129))</f>
        <v>0</v>
      </c>
      <c r="AB128" s="60" t="n">
        <f aca="false">IF(AB$5="A",Inputs_Actuals!AB82,MAX(0,AB127-AA129))</f>
        <v>0</v>
      </c>
    </row>
    <row r="129" customFormat="false" ht="15" hidden="false" customHeight="false" outlineLevel="0" collapsed="false">
      <c r="A129" s="28" t="s">
        <v>927</v>
      </c>
      <c r="B129" s="58"/>
      <c r="C129" s="59" t="n">
        <f aca="false">P129</f>
        <v>56000</v>
      </c>
      <c r="D129" s="59" t="n">
        <f aca="false">AB129</f>
        <v>56000</v>
      </c>
      <c r="E129" s="60" t="n">
        <f aca="false">Project_Register!$R$13+E128</f>
        <v>0</v>
      </c>
      <c r="F129" s="71" t="n">
        <f aca="false">E129+F128</f>
        <v>0</v>
      </c>
      <c r="G129" s="71" t="n">
        <f aca="false">F129+G128</f>
        <v>0</v>
      </c>
      <c r="H129" s="71" t="n">
        <f aca="false">G129+H128</f>
        <v>0</v>
      </c>
      <c r="I129" s="71" t="n">
        <f aca="false">H129+I128</f>
        <v>0</v>
      </c>
      <c r="J129" s="71" t="n">
        <f aca="false">I129+J128</f>
        <v>16800</v>
      </c>
      <c r="K129" s="71" t="n">
        <f aca="false">J129+K128</f>
        <v>16800</v>
      </c>
      <c r="L129" s="71" t="n">
        <f aca="false">K129+L128</f>
        <v>16800</v>
      </c>
      <c r="M129" s="71" t="n">
        <f aca="false">L129+M128</f>
        <v>39200</v>
      </c>
      <c r="N129" s="71" t="n">
        <f aca="false">M129+N128</f>
        <v>39200</v>
      </c>
      <c r="O129" s="71" t="n">
        <f aca="false">N129+O128</f>
        <v>56000</v>
      </c>
      <c r="P129" s="71" t="n">
        <f aca="false">O129+P128</f>
        <v>56000</v>
      </c>
      <c r="Q129" s="71" t="n">
        <f aca="false">P129+Q128</f>
        <v>56000</v>
      </c>
      <c r="R129" s="71" t="n">
        <f aca="false">Q129+R128</f>
        <v>56000</v>
      </c>
      <c r="S129" s="71" t="n">
        <f aca="false">R129+S128</f>
        <v>56000</v>
      </c>
      <c r="T129" s="71" t="n">
        <f aca="false">S129+T128</f>
        <v>56000</v>
      </c>
      <c r="U129" s="71" t="n">
        <f aca="false">T129+U128</f>
        <v>56000</v>
      </c>
      <c r="V129" s="71" t="n">
        <f aca="false">U129+V128</f>
        <v>56000</v>
      </c>
      <c r="W129" s="71" t="n">
        <f aca="false">V129+W128</f>
        <v>56000</v>
      </c>
      <c r="X129" s="71" t="n">
        <f aca="false">W129+X128</f>
        <v>56000</v>
      </c>
      <c r="Y129" s="71" t="n">
        <f aca="false">X129+Y128</f>
        <v>56000</v>
      </c>
      <c r="Z129" s="71" t="n">
        <f aca="false">Y129+Z128</f>
        <v>56000</v>
      </c>
      <c r="AA129" s="71" t="n">
        <f aca="false">Z129+AA128</f>
        <v>56000</v>
      </c>
      <c r="AB129" s="71" t="n">
        <f aca="false">AA129+AB128</f>
        <v>56000</v>
      </c>
    </row>
    <row r="130" customFormat="false" ht="15" hidden="false" customHeight="false" outlineLevel="0" collapsed="false">
      <c r="A130" s="28" t="s">
        <v>928</v>
      </c>
      <c r="B130" s="58" t="s">
        <v>929</v>
      </c>
      <c r="C130" s="59" t="n">
        <f aca="false">P130</f>
        <v>0</v>
      </c>
      <c r="D130" s="59" t="n">
        <f aca="false">AB130</f>
        <v>0</v>
      </c>
      <c r="E130" s="71" t="n">
        <f aca="false">E125-E129</f>
        <v>0</v>
      </c>
      <c r="F130" s="71" t="n">
        <f aca="false">F125-F129</f>
        <v>0</v>
      </c>
      <c r="G130" s="71" t="n">
        <f aca="false">G125-G129</f>
        <v>0</v>
      </c>
      <c r="H130" s="71" t="n">
        <f aca="false">H125-H129</f>
        <v>0</v>
      </c>
      <c r="I130" s="71" t="n">
        <f aca="false">I125-I129</f>
        <v>0</v>
      </c>
      <c r="J130" s="71" t="n">
        <f aca="false">J125-J129</f>
        <v>-12580</v>
      </c>
      <c r="K130" s="71" t="n">
        <f aca="false">K125-K129</f>
        <v>-2220</v>
      </c>
      <c r="L130" s="71" t="n">
        <f aca="false">L125-L129</f>
        <v>10740</v>
      </c>
      <c r="M130" s="71" t="n">
        <f aca="false">M125-M129</f>
        <v>2042.96296296296</v>
      </c>
      <c r="N130" s="71" t="n">
        <f aca="false">N125-N129</f>
        <v>12583.7037037037</v>
      </c>
      <c r="O130" s="71" t="n">
        <f aca="false">O125-O129</f>
        <v>0</v>
      </c>
      <c r="P130" s="71" t="n">
        <f aca="false">P125-P129</f>
        <v>0</v>
      </c>
      <c r="Q130" s="71" t="n">
        <f aca="false">Q125-Q129</f>
        <v>0</v>
      </c>
      <c r="R130" s="71" t="n">
        <f aca="false">R125-R129</f>
        <v>0</v>
      </c>
      <c r="S130" s="71" t="n">
        <f aca="false">S125-S129</f>
        <v>0</v>
      </c>
      <c r="T130" s="71" t="n">
        <f aca="false">T125-T129</f>
        <v>0</v>
      </c>
      <c r="U130" s="71" t="n">
        <f aca="false">U125-U129</f>
        <v>0</v>
      </c>
      <c r="V130" s="71" t="n">
        <f aca="false">V125-V129</f>
        <v>0</v>
      </c>
      <c r="W130" s="71" t="n">
        <f aca="false">W125-W129</f>
        <v>0</v>
      </c>
      <c r="X130" s="71" t="n">
        <f aca="false">X125-X129</f>
        <v>0</v>
      </c>
      <c r="Y130" s="71" t="n">
        <f aca="false">Y125-Y129</f>
        <v>0</v>
      </c>
      <c r="Z130" s="71" t="n">
        <f aca="false">Z125-Z129</f>
        <v>0</v>
      </c>
      <c r="AA130" s="71" t="n">
        <f aca="false">AA125-AA129</f>
        <v>0</v>
      </c>
      <c r="AB130" s="71" t="n">
        <f aca="false">AB125-AB129</f>
        <v>0</v>
      </c>
    </row>
    <row r="131" customFormat="false" ht="15" hidden="false" customHeight="false" outlineLevel="0" collapsed="false">
      <c r="A131" s="28" t="s">
        <v>941</v>
      </c>
      <c r="B131" s="58" t="s">
        <v>942</v>
      </c>
      <c r="C131" s="59" t="n">
        <f aca="false">SUM(E131:P131)</f>
        <v>14000</v>
      </c>
      <c r="D131" s="59" t="n">
        <f aca="false">SUM(Q131:AB131)</f>
        <v>0</v>
      </c>
      <c r="E131" s="60" t="n">
        <f aca="false">IF(E$5="A",Inputs_Actuals!E83,IF(Project_Register!$AE$13&lt;=0,0,IF(1-Project_Register!$AC$13&lt;=0.000001,IF(Assumptions!E$99=Assumptions!$C$10+1,Project_Register!$AE$13,0),Project_Register!$AE$13*(E118-E119)/(1-Project_Register!$AC$13))))</f>
        <v>0</v>
      </c>
      <c r="F131" s="60" t="n">
        <f aca="false">IF(F$5="A",Inputs_Actuals!F83,IF(Project_Register!$AE$13&lt;=0,0,IF(1-Project_Register!$AC$13&lt;=0.000001,IF(Assumptions!F$99=Assumptions!$C$10+1,Project_Register!$AE$13,0),Project_Register!$AE$13*(F118-F119)/(1-Project_Register!$AC$13))))</f>
        <v>0</v>
      </c>
      <c r="G131" s="60" t="n">
        <f aca="false">IF(G$5="A",Inputs_Actuals!G83,IF(Project_Register!$AE$13&lt;=0,0,IF(1-Project_Register!$AC$13&lt;=0.000001,IF(Assumptions!G$99=Assumptions!$C$10+1,Project_Register!$AE$13,0),Project_Register!$AE$13*(G118-G119)/(1-Project_Register!$AC$13))))</f>
        <v>0</v>
      </c>
      <c r="H131" s="60" t="n">
        <f aca="false">IF(H$5="A",Inputs_Actuals!H83,IF(Project_Register!$AE$13&lt;=0,0,IF(1-Project_Register!$AC$13&lt;=0.000001,IF(Assumptions!H$99=Assumptions!$C$10+1,Project_Register!$AE$13,0),Project_Register!$AE$13*(H118-H119)/(1-Project_Register!$AC$13))))</f>
        <v>0</v>
      </c>
      <c r="I131" s="60" t="n">
        <f aca="false">IF(I$5="A",Inputs_Actuals!I83,IF(Project_Register!$AE$13&lt;=0,0,IF(1-Project_Register!$AC$13&lt;=0.000001,IF(Assumptions!I$99=Assumptions!$C$10+1,Project_Register!$AE$13,0),Project_Register!$AE$13*(I118-I119)/(1-Project_Register!$AC$13))))</f>
        <v>0</v>
      </c>
      <c r="J131" s="60" t="n">
        <f aca="false">IF(J$5="A",Inputs_Actuals!J83,IF(Project_Register!$AE$13&lt;=0,0,IF(1-Project_Register!$AC$13&lt;=0.000001,IF(Assumptions!J$99=Assumptions!$C$10+1,Project_Register!$AE$13,0),Project_Register!$AE$13*(J118-J119)/(1-Project_Register!$AC$13))))</f>
        <v>0</v>
      </c>
      <c r="K131" s="60" t="n">
        <f aca="false">IF(K$5="A",Inputs_Actuals!K83,IF(Project_Register!$AE$13&lt;=0,0,IF(1-Project_Register!$AC$13&lt;=0.000001,IF(Assumptions!K$99=Assumptions!$C$10+1,Project_Register!$AE$13,0),Project_Register!$AE$13*(K118-K119)/(1-Project_Register!$AC$13))))</f>
        <v>4200</v>
      </c>
      <c r="L131" s="60" t="n">
        <f aca="false">IF(L$5="A",Inputs_Actuals!L83,IF(Project_Register!$AE$13&lt;=0,0,IF(1-Project_Register!$AC$13&lt;=0.000001,IF(Assumptions!L$99=Assumptions!$C$10+1,Project_Register!$AE$13,0),Project_Register!$AE$13*(L118-L119)/(1-Project_Register!$AC$13))))</f>
        <v>5600</v>
      </c>
      <c r="M131" s="60" t="n">
        <f aca="false">IF(M$5="A",Inputs_Actuals!M83,IF(Project_Register!$AE$13&lt;=0,0,IF(1-Project_Register!$AC$13&lt;=0.000001,IF(Assumptions!M$99=Assumptions!$C$10+1,Project_Register!$AE$13,0),Project_Register!$AE$13*(M118-M119)/(1-Project_Register!$AC$13))))</f>
        <v>2022.22222222222</v>
      </c>
      <c r="N131" s="60" t="n">
        <f aca="false">IF(N$5="A",Inputs_Actuals!N83,IF(Project_Register!$AE$13&lt;=0,0,IF(1-Project_Register!$AC$13&lt;=0.000001,IF(Assumptions!N$99=Assumptions!$C$10+1,Project_Register!$AE$13,0),Project_Register!$AE$13*(N118-N119)/(1-Project_Register!$AC$13))))</f>
        <v>1555.55555555555</v>
      </c>
      <c r="O131" s="60" t="n">
        <f aca="false">IF(O$5="A",Inputs_Actuals!O83,IF(Project_Register!$AE$13&lt;=0,0,IF(1-Project_Register!$AC$13&lt;=0.000001,IF(Assumptions!O$99=Assumptions!$C$10+1,Project_Register!$AE$13,0),Project_Register!$AE$13*(O118-O119)/(1-Project_Register!$AC$13))))</f>
        <v>622.222222222223</v>
      </c>
      <c r="P131" s="60" t="n">
        <f aca="false">IF(P$5="A",Inputs_Actuals!P83,IF(Project_Register!$AE$13&lt;=0,0,IF(1-Project_Register!$AC$13&lt;=0.000001,IF(Assumptions!P$99=Assumptions!$C$10+1,Project_Register!$AE$13,0),Project_Register!$AE$13*(P118-P119)/(1-Project_Register!$AC$13))))</f>
        <v>0</v>
      </c>
      <c r="Q131" s="60" t="n">
        <f aca="false">IF(Q$5="A",Inputs_Actuals!Q83,IF(Project_Register!$AE$13&lt;=0,0,IF(1-Project_Register!$AC$13&lt;=0.000001,IF(Assumptions!Q$99=Assumptions!$C$10+1,Project_Register!$AE$13,0),Project_Register!$AE$13*(Q118-Q119)/(1-Project_Register!$AC$13))))</f>
        <v>0</v>
      </c>
      <c r="R131" s="60" t="n">
        <f aca="false">IF(R$5="A",Inputs_Actuals!R83,IF(Project_Register!$AE$13&lt;=0,0,IF(1-Project_Register!$AC$13&lt;=0.000001,IF(Assumptions!R$99=Assumptions!$C$10+1,Project_Register!$AE$13,0),Project_Register!$AE$13*(R118-R119)/(1-Project_Register!$AC$13))))</f>
        <v>0</v>
      </c>
      <c r="S131" s="60" t="n">
        <f aca="false">IF(S$5="A",Inputs_Actuals!S83,IF(Project_Register!$AE$13&lt;=0,0,IF(1-Project_Register!$AC$13&lt;=0.000001,IF(Assumptions!S$99=Assumptions!$C$10+1,Project_Register!$AE$13,0),Project_Register!$AE$13*(S118-S119)/(1-Project_Register!$AC$13))))</f>
        <v>0</v>
      </c>
      <c r="T131" s="60" t="n">
        <f aca="false">IF(T$5="A",Inputs_Actuals!T83,IF(Project_Register!$AE$13&lt;=0,0,IF(1-Project_Register!$AC$13&lt;=0.000001,IF(Assumptions!T$99=Assumptions!$C$10+1,Project_Register!$AE$13,0),Project_Register!$AE$13*(T118-T119)/(1-Project_Register!$AC$13))))</f>
        <v>0</v>
      </c>
      <c r="U131" s="60" t="n">
        <f aca="false">IF(U$5="A",Inputs_Actuals!U83,IF(Project_Register!$AE$13&lt;=0,0,IF(1-Project_Register!$AC$13&lt;=0.000001,IF(Assumptions!U$99=Assumptions!$C$10+1,Project_Register!$AE$13,0),Project_Register!$AE$13*(U118-U119)/(1-Project_Register!$AC$13))))</f>
        <v>0</v>
      </c>
      <c r="V131" s="60" t="n">
        <f aca="false">IF(V$5="A",Inputs_Actuals!V83,IF(Project_Register!$AE$13&lt;=0,0,IF(1-Project_Register!$AC$13&lt;=0.000001,IF(Assumptions!V$99=Assumptions!$C$10+1,Project_Register!$AE$13,0),Project_Register!$AE$13*(V118-V119)/(1-Project_Register!$AC$13))))</f>
        <v>0</v>
      </c>
      <c r="W131" s="60" t="n">
        <f aca="false">IF(W$5="A",Inputs_Actuals!W83,IF(Project_Register!$AE$13&lt;=0,0,IF(1-Project_Register!$AC$13&lt;=0.000001,IF(Assumptions!W$99=Assumptions!$C$10+1,Project_Register!$AE$13,0),Project_Register!$AE$13*(W118-W119)/(1-Project_Register!$AC$13))))</f>
        <v>0</v>
      </c>
      <c r="X131" s="60" t="n">
        <f aca="false">IF(X$5="A",Inputs_Actuals!X83,IF(Project_Register!$AE$13&lt;=0,0,IF(1-Project_Register!$AC$13&lt;=0.000001,IF(Assumptions!X$99=Assumptions!$C$10+1,Project_Register!$AE$13,0),Project_Register!$AE$13*(X118-X119)/(1-Project_Register!$AC$13))))</f>
        <v>0</v>
      </c>
      <c r="Y131" s="60" t="n">
        <f aca="false">IF(Y$5="A",Inputs_Actuals!Y83,IF(Project_Register!$AE$13&lt;=0,0,IF(1-Project_Register!$AC$13&lt;=0.000001,IF(Assumptions!Y$99=Assumptions!$C$10+1,Project_Register!$AE$13,0),Project_Register!$AE$13*(Y118-Y119)/(1-Project_Register!$AC$13))))</f>
        <v>0</v>
      </c>
      <c r="Z131" s="60" t="n">
        <f aca="false">IF(Z$5="A",Inputs_Actuals!Z83,IF(Project_Register!$AE$13&lt;=0,0,IF(1-Project_Register!$AC$13&lt;=0.000001,IF(Assumptions!Z$99=Assumptions!$C$10+1,Project_Register!$AE$13,0),Project_Register!$AE$13*(Z118-Z119)/(1-Project_Register!$AC$13))))</f>
        <v>0</v>
      </c>
      <c r="AA131" s="60" t="n">
        <f aca="false">IF(AA$5="A",Inputs_Actuals!AA83,IF(Project_Register!$AE$13&lt;=0,0,IF(1-Project_Register!$AC$13&lt;=0.000001,IF(Assumptions!AA$99=Assumptions!$C$10+1,Project_Register!$AE$13,0),Project_Register!$AE$13*(AA118-AA119)/(1-Project_Register!$AC$13))))</f>
        <v>0</v>
      </c>
      <c r="AB131" s="60" t="n">
        <f aca="false">IF(AB$5="A",Inputs_Actuals!AB83,IF(Project_Register!$AE$13&lt;=0,0,IF(1-Project_Register!$AC$13&lt;=0.000001,IF(Assumptions!AB$99=Assumptions!$C$10+1,Project_Register!$AE$13,0),Project_Register!$AE$13*(AB118-AB119)/(1-Project_Register!$AC$13))))</f>
        <v>0</v>
      </c>
    </row>
    <row r="132" customFormat="false" ht="15" hidden="false" customHeight="false" outlineLevel="0" collapsed="false">
      <c r="A132" s="28" t="s">
        <v>943</v>
      </c>
      <c r="B132" s="58" t="s">
        <v>944</v>
      </c>
      <c r="C132" s="59" t="n">
        <f aca="false">SUM(E132:P132)</f>
        <v>13797.9093</v>
      </c>
      <c r="D132" s="59" t="n">
        <f aca="false">SUM(Q132:AB132)</f>
        <v>0</v>
      </c>
      <c r="E132" s="60" t="n">
        <f aca="false">E131*(1+Project_Register!$K$13)*FX!E9</f>
        <v>0</v>
      </c>
      <c r="F132" s="60" t="n">
        <f aca="false">F131*(1+Project_Register!$K$13)*FX!F9</f>
        <v>0</v>
      </c>
      <c r="G132" s="60" t="n">
        <f aca="false">G131*(1+Project_Register!$K$13)*FX!G9</f>
        <v>0</v>
      </c>
      <c r="H132" s="60" t="n">
        <f aca="false">H131*(1+Project_Register!$K$13)*FX!H9</f>
        <v>0</v>
      </c>
      <c r="I132" s="60" t="n">
        <f aca="false">I131*(1+Project_Register!$K$13)*FX!I9</f>
        <v>0</v>
      </c>
      <c r="J132" s="60" t="n">
        <f aca="false">J131*(1+Project_Register!$K$13)*FX!J9</f>
        <v>0</v>
      </c>
      <c r="K132" s="60" t="n">
        <f aca="false">K131*(1+Project_Register!$K$13)*FX!K9</f>
        <v>4147.7625</v>
      </c>
      <c r="L132" s="60" t="n">
        <f aca="false">L131*(1+Project_Register!$K$13)*FX!L9</f>
        <v>5513.3484</v>
      </c>
      <c r="M132" s="60" t="n">
        <f aca="false">M131*(1+Project_Register!$K$13)*FX!M9</f>
        <v>1991.79182222222</v>
      </c>
      <c r="N132" s="60" t="n">
        <f aca="false">N131*(1+Project_Register!$K$13)*FX!N9</f>
        <v>1532.14755555555</v>
      </c>
      <c r="O132" s="60" t="n">
        <f aca="false">O131*(1+Project_Register!$K$13)*FX!O9</f>
        <v>612.859022222223</v>
      </c>
      <c r="P132" s="60" t="n">
        <f aca="false">P131*(1+Project_Register!$K$13)*FX!P9</f>
        <v>0</v>
      </c>
      <c r="Q132" s="60" t="n">
        <f aca="false">Q131*(1+Project_Register!$K$13)*FX!Q9</f>
        <v>0</v>
      </c>
      <c r="R132" s="60" t="n">
        <f aca="false">R131*(1+Project_Register!$K$13)*FX!R9</f>
        <v>0</v>
      </c>
      <c r="S132" s="60" t="n">
        <f aca="false">S131*(1+Project_Register!$K$13)*FX!S9</f>
        <v>0</v>
      </c>
      <c r="T132" s="60" t="n">
        <f aca="false">T131*(1+Project_Register!$K$13)*FX!T9</f>
        <v>0</v>
      </c>
      <c r="U132" s="60" t="n">
        <f aca="false">U131*(1+Project_Register!$K$13)*FX!U9</f>
        <v>0</v>
      </c>
      <c r="V132" s="60" t="n">
        <f aca="false">V131*(1+Project_Register!$K$13)*FX!V9</f>
        <v>0</v>
      </c>
      <c r="W132" s="60" t="n">
        <f aca="false">W131*(1+Project_Register!$K$13)*FX!W9</f>
        <v>0</v>
      </c>
      <c r="X132" s="60" t="n">
        <f aca="false">X131*(1+Project_Register!$K$13)*FX!X9</f>
        <v>0</v>
      </c>
      <c r="Y132" s="60" t="n">
        <f aca="false">Y131*(1+Project_Register!$K$13)*FX!Y9</f>
        <v>0</v>
      </c>
      <c r="Z132" s="60" t="n">
        <f aca="false">Z131*(1+Project_Register!$K$13)*FX!Z9</f>
        <v>0</v>
      </c>
      <c r="AA132" s="60" t="n">
        <f aca="false">AA131*(1+Project_Register!$K$13)*FX!AA9</f>
        <v>0</v>
      </c>
      <c r="AB132" s="60" t="n">
        <f aca="false">AB131*(1+Project_Register!$K$13)*FX!AB9</f>
        <v>0</v>
      </c>
    </row>
    <row r="133" customFormat="false" ht="15" hidden="false" customHeight="false" outlineLevel="0" collapsed="false">
      <c r="A133" s="28" t="s">
        <v>930</v>
      </c>
      <c r="B133" s="58"/>
      <c r="C133" s="59" t="n">
        <f aca="false">P133</f>
        <v>0</v>
      </c>
      <c r="D133" s="59" t="n">
        <f aca="false">AB133</f>
        <v>0</v>
      </c>
      <c r="E133" s="71" t="n">
        <f aca="false">MAX(0,E124-E125)</f>
        <v>0</v>
      </c>
      <c r="F133" s="71" t="n">
        <f aca="false">MAX(0,F124-F125)</f>
        <v>0</v>
      </c>
      <c r="G133" s="71" t="n">
        <f aca="false">MAX(0,G124-G125)</f>
        <v>0</v>
      </c>
      <c r="H133" s="71" t="n">
        <f aca="false">MAX(0,H124-H125)</f>
        <v>0</v>
      </c>
      <c r="I133" s="71" t="n">
        <f aca="false">MAX(0,I124-I125)</f>
        <v>0</v>
      </c>
      <c r="J133" s="71" t="n">
        <f aca="false">MAX(0,J124-J125)</f>
        <v>51780</v>
      </c>
      <c r="K133" s="71" t="n">
        <f aca="false">MAX(0,K124-K125)</f>
        <v>41420</v>
      </c>
      <c r="L133" s="71" t="n">
        <f aca="false">MAX(0,L124-L125)</f>
        <v>28460</v>
      </c>
      <c r="M133" s="71" t="n">
        <f aca="false">MAX(0,M124-M125)</f>
        <v>14757.037037037</v>
      </c>
      <c r="N133" s="71" t="n">
        <f aca="false">MAX(0,N124-N125)</f>
        <v>4216.29629629631</v>
      </c>
      <c r="O133" s="71" t="n">
        <f aca="false">MAX(0,O124-O125)</f>
        <v>0</v>
      </c>
      <c r="P133" s="71" t="n">
        <f aca="false">MAX(0,P124-P125)</f>
        <v>0</v>
      </c>
      <c r="Q133" s="71" t="n">
        <f aca="false">MAX(0,Q124-Q125)</f>
        <v>0</v>
      </c>
      <c r="R133" s="71" t="n">
        <f aca="false">MAX(0,R124-R125)</f>
        <v>0</v>
      </c>
      <c r="S133" s="71" t="n">
        <f aca="false">MAX(0,S124-S125)</f>
        <v>0</v>
      </c>
      <c r="T133" s="71" t="n">
        <f aca="false">MAX(0,T124-T125)</f>
        <v>0</v>
      </c>
      <c r="U133" s="71" t="n">
        <f aca="false">MAX(0,U124-U125)</f>
        <v>0</v>
      </c>
      <c r="V133" s="71" t="n">
        <f aca="false">MAX(0,V124-V125)</f>
        <v>0</v>
      </c>
      <c r="W133" s="71" t="n">
        <f aca="false">MAX(0,W124-W125)</f>
        <v>0</v>
      </c>
      <c r="X133" s="71" t="n">
        <f aca="false">MAX(0,X124-X125)</f>
        <v>0</v>
      </c>
      <c r="Y133" s="71" t="n">
        <f aca="false">MAX(0,Y124-Y125)</f>
        <v>0</v>
      </c>
      <c r="Z133" s="71" t="n">
        <f aca="false">MAX(0,Z124-Z125)</f>
        <v>0</v>
      </c>
      <c r="AA133" s="71" t="n">
        <f aca="false">MAX(0,AA124-AA125)</f>
        <v>0</v>
      </c>
      <c r="AB133" s="71" t="n">
        <f aca="false">MAX(0,AB124-AB125)</f>
        <v>0</v>
      </c>
    </row>
    <row r="134" customFormat="false" ht="15" hidden="false" customHeight="false" outlineLevel="0" collapsed="false">
      <c r="A134" s="28" t="s">
        <v>931</v>
      </c>
      <c r="B134" s="58" t="s">
        <v>932</v>
      </c>
      <c r="E134" s="71" t="n">
        <f aca="false">IF(E$5="A",ROUND(E125-E123*E124,0),0)</f>
        <v>0</v>
      </c>
      <c r="F134" s="71" t="n">
        <f aca="false">IF(F$5="A",ROUND(F125-F123*F124,0),0)</f>
        <v>0</v>
      </c>
      <c r="G134" s="71" t="n">
        <f aca="false">IF(G$5="A",ROUND(G125-G123*G124,0),0)</f>
        <v>0</v>
      </c>
      <c r="H134" s="71" t="n">
        <f aca="false">IF(H$5="A",ROUND(H125-H123*H124,0),0)</f>
        <v>0</v>
      </c>
      <c r="I134" s="71" t="n">
        <f aca="false">IF(I$5="A",ROUND(I125-I123*I124,0),0)</f>
        <v>0</v>
      </c>
      <c r="J134" s="71" t="n">
        <f aca="false">IF(J$5="A",ROUND(J125-J123*J124,0),0)</f>
        <v>0</v>
      </c>
      <c r="K134" s="71" t="n">
        <f aca="false">IF(K$5="A",ROUND(K125-K123*K124,0),0)</f>
        <v>0</v>
      </c>
      <c r="L134" s="71" t="n">
        <f aca="false">IF(L$5="A",ROUND(L125-L123*L124,0),0)</f>
        <v>0</v>
      </c>
      <c r="M134" s="71" t="n">
        <f aca="false">IF(M$5="A",ROUND(M125-M123*M124,0),0)</f>
        <v>0</v>
      </c>
      <c r="N134" s="71" t="n">
        <f aca="false">IF(N$5="A",ROUND(N125-N123*N124,0),0)</f>
        <v>0</v>
      </c>
      <c r="O134" s="71" t="n">
        <f aca="false">IF(O$5="A",ROUND(O125-O123*O124,0),0)</f>
        <v>0</v>
      </c>
      <c r="P134" s="71" t="n">
        <f aca="false">IF(P$5="A",ROUND(P125-P123*P124,0),0)</f>
        <v>0</v>
      </c>
      <c r="Q134" s="71" t="n">
        <f aca="false">IF(Q$5="A",ROUND(Q125-Q123*Q124,0),0)</f>
        <v>0</v>
      </c>
      <c r="R134" s="71" t="n">
        <f aca="false">IF(R$5="A",ROUND(R125-R123*R124,0),0)</f>
        <v>0</v>
      </c>
      <c r="S134" s="71" t="n">
        <f aca="false">IF(S$5="A",ROUND(S125-S123*S124,0),0)</f>
        <v>0</v>
      </c>
      <c r="T134" s="71" t="n">
        <f aca="false">IF(T$5="A",ROUND(T125-T123*T124,0),0)</f>
        <v>0</v>
      </c>
      <c r="U134" s="71" t="n">
        <f aca="false">IF(U$5="A",ROUND(U125-U123*U124,0),0)</f>
        <v>0</v>
      </c>
      <c r="V134" s="71" t="n">
        <f aca="false">IF(V$5="A",ROUND(V125-V123*V124,0),0)</f>
        <v>0</v>
      </c>
      <c r="W134" s="71" t="n">
        <f aca="false">IF(W$5="A",ROUND(W125-W123*W124,0),0)</f>
        <v>0</v>
      </c>
      <c r="X134" s="71" t="n">
        <f aca="false">IF(X$5="A",ROUND(X125-X123*X124,0),0)</f>
        <v>0</v>
      </c>
      <c r="Y134" s="71" t="n">
        <f aca="false">IF(Y$5="A",ROUND(Y125-Y123*Y124,0),0)</f>
        <v>0</v>
      </c>
      <c r="Z134" s="71" t="n">
        <f aca="false">IF(Z$5="A",ROUND(Z125-Z123*Z124,0),0)</f>
        <v>0</v>
      </c>
      <c r="AA134" s="71" t="n">
        <f aca="false">IF(AA$5="A",ROUND(AA125-AA123*AA124,0),0)</f>
        <v>0</v>
      </c>
      <c r="AB134" s="71" t="n">
        <f aca="false">IF(AB$5="A",ROUND(AB125-AB123*AB124,0),0)</f>
        <v>0</v>
      </c>
    </row>
    <row r="136" customFormat="false" ht="15" hidden="false" customHeight="false" outlineLevel="0" collapsed="false">
      <c r="A136" s="22" t="s">
        <v>945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row>
    <row r="137" customFormat="false" ht="15" hidden="false" customHeight="false" outlineLevel="0" collapsed="false">
      <c r="A137" s="28" t="s">
        <v>905</v>
      </c>
      <c r="B137" s="58" t="s">
        <v>906</v>
      </c>
      <c r="E137" s="112" t="n">
        <f aca="false">MIN(1,MAX(0,(Assumptions!E$99-Project_Register!$T$14+1)/(Project_Register!$U$14-Project_Register!$T$14+1)))</f>
        <v>0</v>
      </c>
      <c r="F137" s="112" t="n">
        <f aca="false">MIN(1,MAX(0,(Assumptions!F$99-Project_Register!$T$14+1)/(Project_Register!$U$14-Project_Register!$T$14+1)))</f>
        <v>0</v>
      </c>
      <c r="G137" s="112" t="n">
        <f aca="false">MIN(1,MAX(0,(Assumptions!G$99-Project_Register!$T$14+1)/(Project_Register!$U$14-Project_Register!$T$14+1)))</f>
        <v>0</v>
      </c>
      <c r="H137" s="112" t="n">
        <f aca="false">MIN(1,MAX(0,(Assumptions!H$99-Project_Register!$T$14+1)/(Project_Register!$U$14-Project_Register!$T$14+1)))</f>
        <v>0</v>
      </c>
      <c r="I137" s="112" t="n">
        <f aca="false">MIN(1,MAX(0,(Assumptions!I$99-Project_Register!$T$14+1)/(Project_Register!$U$14-Project_Register!$T$14+1)))</f>
        <v>0</v>
      </c>
      <c r="J137" s="112" t="n">
        <f aca="false">MIN(1,MAX(0,(Assumptions!J$99-Project_Register!$T$14+1)/(Project_Register!$U$14-Project_Register!$T$14+1)))</f>
        <v>0</v>
      </c>
      <c r="K137" s="112" t="n">
        <f aca="false">MIN(1,MAX(0,(Assumptions!K$99-Project_Register!$T$14+1)/(Project_Register!$U$14-Project_Register!$T$14+1)))</f>
        <v>0.2</v>
      </c>
      <c r="L137" s="112" t="n">
        <f aca="false">MIN(1,MAX(0,(Assumptions!L$99-Project_Register!$T$14+1)/(Project_Register!$U$14-Project_Register!$T$14+1)))</f>
        <v>0.4</v>
      </c>
      <c r="M137" s="112" t="n">
        <f aca="false">MIN(1,MAX(0,(Assumptions!M$99-Project_Register!$T$14+1)/(Project_Register!$U$14-Project_Register!$T$14+1)))</f>
        <v>0.6</v>
      </c>
      <c r="N137" s="112" t="n">
        <f aca="false">MIN(1,MAX(0,(Assumptions!N$99-Project_Register!$T$14+1)/(Project_Register!$U$14-Project_Register!$T$14+1)))</f>
        <v>0.8</v>
      </c>
      <c r="O137" s="112" t="n">
        <f aca="false">MIN(1,MAX(0,(Assumptions!O$99-Project_Register!$T$14+1)/(Project_Register!$U$14-Project_Register!$T$14+1)))</f>
        <v>1</v>
      </c>
      <c r="P137" s="112" t="n">
        <f aca="false">MIN(1,MAX(0,(Assumptions!P$99-Project_Register!$T$14+1)/(Project_Register!$U$14-Project_Register!$T$14+1)))</f>
        <v>1</v>
      </c>
      <c r="Q137" s="112" t="n">
        <f aca="false">MIN(1,MAX(0,(Assumptions!Q$99-Project_Register!$T$14+1)/(Project_Register!$U$14-Project_Register!$T$14+1)))</f>
        <v>1</v>
      </c>
      <c r="R137" s="112" t="n">
        <f aca="false">MIN(1,MAX(0,(Assumptions!R$99-Project_Register!$T$14+1)/(Project_Register!$U$14-Project_Register!$T$14+1)))</f>
        <v>1</v>
      </c>
      <c r="S137" s="112" t="n">
        <f aca="false">MIN(1,MAX(0,(Assumptions!S$99-Project_Register!$T$14+1)/(Project_Register!$U$14-Project_Register!$T$14+1)))</f>
        <v>1</v>
      </c>
      <c r="T137" s="112" t="n">
        <f aca="false">MIN(1,MAX(0,(Assumptions!T$99-Project_Register!$T$14+1)/(Project_Register!$U$14-Project_Register!$T$14+1)))</f>
        <v>1</v>
      </c>
      <c r="U137" s="112" t="n">
        <f aca="false">MIN(1,MAX(0,(Assumptions!U$99-Project_Register!$T$14+1)/(Project_Register!$U$14-Project_Register!$T$14+1)))</f>
        <v>1</v>
      </c>
      <c r="V137" s="112" t="n">
        <f aca="false">MIN(1,MAX(0,(Assumptions!V$99-Project_Register!$T$14+1)/(Project_Register!$U$14-Project_Register!$T$14+1)))</f>
        <v>1</v>
      </c>
      <c r="W137" s="112" t="n">
        <f aca="false">MIN(1,MAX(0,(Assumptions!W$99-Project_Register!$T$14+1)/(Project_Register!$U$14-Project_Register!$T$14+1)))</f>
        <v>1</v>
      </c>
      <c r="X137" s="112" t="n">
        <f aca="false">MIN(1,MAX(0,(Assumptions!X$99-Project_Register!$T$14+1)/(Project_Register!$U$14-Project_Register!$T$14+1)))</f>
        <v>1</v>
      </c>
      <c r="Y137" s="112" t="n">
        <f aca="false">MIN(1,MAX(0,(Assumptions!Y$99-Project_Register!$T$14+1)/(Project_Register!$U$14-Project_Register!$T$14+1)))</f>
        <v>1</v>
      </c>
      <c r="Z137" s="112" t="n">
        <f aca="false">MIN(1,MAX(0,(Assumptions!Z$99-Project_Register!$T$14+1)/(Project_Register!$U$14-Project_Register!$T$14+1)))</f>
        <v>1</v>
      </c>
      <c r="AA137" s="112" t="n">
        <f aca="false">MIN(1,MAX(0,(Assumptions!AA$99-Project_Register!$T$14+1)/(Project_Register!$U$14-Project_Register!$T$14+1)))</f>
        <v>1</v>
      </c>
      <c r="AB137" s="112" t="n">
        <f aca="false">MIN(1,MAX(0,(Assumptions!AB$99-Project_Register!$T$14+1)/(Project_Register!$U$14-Project_Register!$T$14+1)))</f>
        <v>1</v>
      </c>
    </row>
    <row r="138" customFormat="false" ht="15" hidden="false" customHeight="false" outlineLevel="0" collapsed="false">
      <c r="A138" s="28" t="s">
        <v>907</v>
      </c>
      <c r="B138" s="58" t="s">
        <v>908</v>
      </c>
      <c r="E138" s="113" t="n">
        <f aca="false">3*E137^2-2*E137^3</f>
        <v>0</v>
      </c>
      <c r="F138" s="113" t="n">
        <f aca="false">3*F137^2-2*F137^3</f>
        <v>0</v>
      </c>
      <c r="G138" s="113" t="n">
        <f aca="false">3*G137^2-2*G137^3</f>
        <v>0</v>
      </c>
      <c r="H138" s="113" t="n">
        <f aca="false">3*H137^2-2*H137^3</f>
        <v>0</v>
      </c>
      <c r="I138" s="113" t="n">
        <f aca="false">3*I137^2-2*I137^3</f>
        <v>0</v>
      </c>
      <c r="J138" s="113" t="n">
        <f aca="false">3*J137^2-2*J137^3</f>
        <v>0</v>
      </c>
      <c r="K138" s="113" t="n">
        <f aca="false">3*K137^2-2*K137^3</f>
        <v>0.104</v>
      </c>
      <c r="L138" s="113" t="n">
        <f aca="false">3*L137^2-2*L137^3</f>
        <v>0.352</v>
      </c>
      <c r="M138" s="113" t="n">
        <f aca="false">3*M137^2-2*M137^3</f>
        <v>0.648</v>
      </c>
      <c r="N138" s="113" t="n">
        <f aca="false">3*N137^2-2*N137^3</f>
        <v>0.896</v>
      </c>
      <c r="O138" s="113" t="n">
        <f aca="false">3*O137^2-2*O137^3</f>
        <v>1</v>
      </c>
      <c r="P138" s="113" t="n">
        <f aca="false">3*P137^2-2*P137^3</f>
        <v>1</v>
      </c>
      <c r="Q138" s="113" t="n">
        <f aca="false">3*Q137^2-2*Q137^3</f>
        <v>1</v>
      </c>
      <c r="R138" s="113" t="n">
        <f aca="false">3*R137^2-2*R137^3</f>
        <v>1</v>
      </c>
      <c r="S138" s="113" t="n">
        <f aca="false">3*S137^2-2*S137^3</f>
        <v>1</v>
      </c>
      <c r="T138" s="113" t="n">
        <f aca="false">3*T137^2-2*T137^3</f>
        <v>1</v>
      </c>
      <c r="U138" s="113" t="n">
        <f aca="false">3*U137^2-2*U137^3</f>
        <v>1</v>
      </c>
      <c r="V138" s="113" t="n">
        <f aca="false">3*V137^2-2*V137^3</f>
        <v>1</v>
      </c>
      <c r="W138" s="113" t="n">
        <f aca="false">3*W137^2-2*W137^3</f>
        <v>1</v>
      </c>
      <c r="X138" s="113" t="n">
        <f aca="false">3*X137^2-2*X137^3</f>
        <v>1</v>
      </c>
      <c r="Y138" s="113" t="n">
        <f aca="false">3*Y137^2-2*Y137^3</f>
        <v>1</v>
      </c>
      <c r="Z138" s="113" t="n">
        <f aca="false">3*Z137^2-2*Z137^3</f>
        <v>1</v>
      </c>
      <c r="AA138" s="113" t="n">
        <f aca="false">3*AA137^2-2*AA137^3</f>
        <v>1</v>
      </c>
      <c r="AB138" s="113" t="n">
        <f aca="false">3*AB137^2-2*AB137^3</f>
        <v>1</v>
      </c>
    </row>
    <row r="139" customFormat="false" ht="15" hidden="false" customHeight="false" outlineLevel="0" collapsed="false">
      <c r="A139" s="28" t="s">
        <v>909</v>
      </c>
      <c r="B139" s="58"/>
      <c r="E139" s="112" t="n">
        <f aca="false">3*MIN(1,MAX(0,(Assumptions!E$99-Project_Register!$T$14)/(Project_Register!$U$14-Project_Register!$T$14+1)))^2-2*MIN(1,MAX(0,(Assumptions!E$99-Project_Register!$T$14)/(Project_Register!$U$14-Project_Register!$T$14+1)))^3</f>
        <v>0</v>
      </c>
      <c r="F139" s="112" t="n">
        <f aca="false">3*MIN(1,MAX(0,(Assumptions!F$99-Project_Register!$T$14)/(Project_Register!$U$14-Project_Register!$T$14+1)))^2-2*MIN(1,MAX(0,(Assumptions!F$99-Project_Register!$T$14)/(Project_Register!$U$14-Project_Register!$T$14+1)))^3</f>
        <v>0</v>
      </c>
      <c r="G139" s="112" t="n">
        <f aca="false">3*MIN(1,MAX(0,(Assumptions!G$99-Project_Register!$T$14)/(Project_Register!$U$14-Project_Register!$T$14+1)))^2-2*MIN(1,MAX(0,(Assumptions!G$99-Project_Register!$T$14)/(Project_Register!$U$14-Project_Register!$T$14+1)))^3</f>
        <v>0</v>
      </c>
      <c r="H139" s="112" t="n">
        <f aca="false">3*MIN(1,MAX(0,(Assumptions!H$99-Project_Register!$T$14)/(Project_Register!$U$14-Project_Register!$T$14+1)))^2-2*MIN(1,MAX(0,(Assumptions!H$99-Project_Register!$T$14)/(Project_Register!$U$14-Project_Register!$T$14+1)))^3</f>
        <v>0</v>
      </c>
      <c r="I139" s="112" t="n">
        <f aca="false">3*MIN(1,MAX(0,(Assumptions!I$99-Project_Register!$T$14)/(Project_Register!$U$14-Project_Register!$T$14+1)))^2-2*MIN(1,MAX(0,(Assumptions!I$99-Project_Register!$T$14)/(Project_Register!$U$14-Project_Register!$T$14+1)))^3</f>
        <v>0</v>
      </c>
      <c r="J139" s="112" t="n">
        <f aca="false">3*MIN(1,MAX(0,(Assumptions!J$99-Project_Register!$T$14)/(Project_Register!$U$14-Project_Register!$T$14+1)))^2-2*MIN(1,MAX(0,(Assumptions!J$99-Project_Register!$T$14)/(Project_Register!$U$14-Project_Register!$T$14+1)))^3</f>
        <v>0</v>
      </c>
      <c r="K139" s="112" t="n">
        <f aca="false">3*MIN(1,MAX(0,(Assumptions!K$99-Project_Register!$T$14)/(Project_Register!$U$14-Project_Register!$T$14+1)))^2-2*MIN(1,MAX(0,(Assumptions!K$99-Project_Register!$T$14)/(Project_Register!$U$14-Project_Register!$T$14+1)))^3</f>
        <v>0</v>
      </c>
      <c r="L139" s="112" t="n">
        <f aca="false">3*MIN(1,MAX(0,(Assumptions!L$99-Project_Register!$T$14)/(Project_Register!$U$14-Project_Register!$T$14+1)))^2-2*MIN(1,MAX(0,(Assumptions!L$99-Project_Register!$T$14)/(Project_Register!$U$14-Project_Register!$T$14+1)))^3</f>
        <v>0.104</v>
      </c>
      <c r="M139" s="112" t="n">
        <f aca="false">3*MIN(1,MAX(0,(Assumptions!M$99-Project_Register!$T$14)/(Project_Register!$U$14-Project_Register!$T$14+1)))^2-2*MIN(1,MAX(0,(Assumptions!M$99-Project_Register!$T$14)/(Project_Register!$U$14-Project_Register!$T$14+1)))^3</f>
        <v>0.352</v>
      </c>
      <c r="N139" s="112" t="n">
        <f aca="false">3*MIN(1,MAX(0,(Assumptions!N$99-Project_Register!$T$14)/(Project_Register!$U$14-Project_Register!$T$14+1)))^2-2*MIN(1,MAX(0,(Assumptions!N$99-Project_Register!$T$14)/(Project_Register!$U$14-Project_Register!$T$14+1)))^3</f>
        <v>0.648</v>
      </c>
      <c r="O139" s="112" t="n">
        <f aca="false">3*MIN(1,MAX(0,(Assumptions!O$99-Project_Register!$T$14)/(Project_Register!$U$14-Project_Register!$T$14+1)))^2-2*MIN(1,MAX(0,(Assumptions!O$99-Project_Register!$T$14)/(Project_Register!$U$14-Project_Register!$T$14+1)))^3</f>
        <v>0.896</v>
      </c>
      <c r="P139" s="112" t="n">
        <f aca="false">3*MIN(1,MAX(0,(Assumptions!P$99-Project_Register!$T$14)/(Project_Register!$U$14-Project_Register!$T$14+1)))^2-2*MIN(1,MAX(0,(Assumptions!P$99-Project_Register!$T$14)/(Project_Register!$U$14-Project_Register!$T$14+1)))^3</f>
        <v>1</v>
      </c>
      <c r="Q139" s="112" t="n">
        <f aca="false">3*MIN(1,MAX(0,(Assumptions!Q$99-Project_Register!$T$14)/(Project_Register!$U$14-Project_Register!$T$14+1)))^2-2*MIN(1,MAX(0,(Assumptions!Q$99-Project_Register!$T$14)/(Project_Register!$U$14-Project_Register!$T$14+1)))^3</f>
        <v>1</v>
      </c>
      <c r="R139" s="112" t="n">
        <f aca="false">3*MIN(1,MAX(0,(Assumptions!R$99-Project_Register!$T$14)/(Project_Register!$U$14-Project_Register!$T$14+1)))^2-2*MIN(1,MAX(0,(Assumptions!R$99-Project_Register!$T$14)/(Project_Register!$U$14-Project_Register!$T$14+1)))^3</f>
        <v>1</v>
      </c>
      <c r="S139" s="112" t="n">
        <f aca="false">3*MIN(1,MAX(0,(Assumptions!S$99-Project_Register!$T$14)/(Project_Register!$U$14-Project_Register!$T$14+1)))^2-2*MIN(1,MAX(0,(Assumptions!S$99-Project_Register!$T$14)/(Project_Register!$U$14-Project_Register!$T$14+1)))^3</f>
        <v>1</v>
      </c>
      <c r="T139" s="112" t="n">
        <f aca="false">3*MIN(1,MAX(0,(Assumptions!T$99-Project_Register!$T$14)/(Project_Register!$U$14-Project_Register!$T$14+1)))^2-2*MIN(1,MAX(0,(Assumptions!T$99-Project_Register!$T$14)/(Project_Register!$U$14-Project_Register!$T$14+1)))^3</f>
        <v>1</v>
      </c>
      <c r="U139" s="112" t="n">
        <f aca="false">3*MIN(1,MAX(0,(Assumptions!U$99-Project_Register!$T$14)/(Project_Register!$U$14-Project_Register!$T$14+1)))^2-2*MIN(1,MAX(0,(Assumptions!U$99-Project_Register!$T$14)/(Project_Register!$U$14-Project_Register!$T$14+1)))^3</f>
        <v>1</v>
      </c>
      <c r="V139" s="112" t="n">
        <f aca="false">3*MIN(1,MAX(0,(Assumptions!V$99-Project_Register!$T$14)/(Project_Register!$U$14-Project_Register!$T$14+1)))^2-2*MIN(1,MAX(0,(Assumptions!V$99-Project_Register!$T$14)/(Project_Register!$U$14-Project_Register!$T$14+1)))^3</f>
        <v>1</v>
      </c>
      <c r="W139" s="112" t="n">
        <f aca="false">3*MIN(1,MAX(0,(Assumptions!W$99-Project_Register!$T$14)/(Project_Register!$U$14-Project_Register!$T$14+1)))^2-2*MIN(1,MAX(0,(Assumptions!W$99-Project_Register!$T$14)/(Project_Register!$U$14-Project_Register!$T$14+1)))^3</f>
        <v>1</v>
      </c>
      <c r="X139" s="112" t="n">
        <f aca="false">3*MIN(1,MAX(0,(Assumptions!X$99-Project_Register!$T$14)/(Project_Register!$U$14-Project_Register!$T$14+1)))^2-2*MIN(1,MAX(0,(Assumptions!X$99-Project_Register!$T$14)/(Project_Register!$U$14-Project_Register!$T$14+1)))^3</f>
        <v>1</v>
      </c>
      <c r="Y139" s="112" t="n">
        <f aca="false">3*MIN(1,MAX(0,(Assumptions!Y$99-Project_Register!$T$14)/(Project_Register!$U$14-Project_Register!$T$14+1)))^2-2*MIN(1,MAX(0,(Assumptions!Y$99-Project_Register!$T$14)/(Project_Register!$U$14-Project_Register!$T$14+1)))^3</f>
        <v>1</v>
      </c>
      <c r="Z139" s="112" t="n">
        <f aca="false">3*MIN(1,MAX(0,(Assumptions!Z$99-Project_Register!$T$14)/(Project_Register!$U$14-Project_Register!$T$14+1)))^2-2*MIN(1,MAX(0,(Assumptions!Z$99-Project_Register!$T$14)/(Project_Register!$U$14-Project_Register!$T$14+1)))^3</f>
        <v>1</v>
      </c>
      <c r="AA139" s="112" t="n">
        <f aca="false">3*MIN(1,MAX(0,(Assumptions!AA$99-Project_Register!$T$14)/(Project_Register!$U$14-Project_Register!$T$14+1)))^2-2*MIN(1,MAX(0,(Assumptions!AA$99-Project_Register!$T$14)/(Project_Register!$U$14-Project_Register!$T$14+1)))^3</f>
        <v>1</v>
      </c>
      <c r="AB139" s="112" t="n">
        <f aca="false">3*MIN(1,MAX(0,(Assumptions!AB$99-Project_Register!$T$14)/(Project_Register!$U$14-Project_Register!$T$14+1)))^2-2*MIN(1,MAX(0,(Assumptions!AB$99-Project_Register!$T$14)/(Project_Register!$U$14-Project_Register!$T$14+1)))^3</f>
        <v>1</v>
      </c>
    </row>
    <row r="140" customFormat="false" ht="15" hidden="false" customHeight="false" outlineLevel="0" collapsed="false">
      <c r="A140" s="28" t="s">
        <v>802</v>
      </c>
      <c r="B140" s="58" t="s">
        <v>910</v>
      </c>
      <c r="C140" s="66" t="n">
        <f aca="false">SUM(E140:P140)</f>
        <v>800</v>
      </c>
      <c r="D140" s="66" t="n">
        <f aca="false">SUM(Q140:AB140)</f>
        <v>0</v>
      </c>
      <c r="E140" s="67" t="n">
        <f aca="false">IF(E$5="A",Inputs_Actuals!E84,IF((Project_Register!$AA$14-Project_Register!$X$14)&lt;=0,0,IF(1-Project_Register!$AC$14&lt;=0.000001,IF(Assumptions!E$99=Assumptions!$C$10+1,(Project_Register!$AA$14-Project_Register!$X$14),0),(Project_Register!$AA$14-Project_Register!$X$14)*(E138-E139)/(1-Project_Register!$AC$14))))</f>
        <v>0</v>
      </c>
      <c r="F140" s="67" t="n">
        <f aca="false">IF(F$5="A",Inputs_Actuals!F84,IF((Project_Register!$AA$14-Project_Register!$X$14)&lt;=0,0,IF(1-Project_Register!$AC$14&lt;=0.000001,IF(Assumptions!F$99=Assumptions!$C$10+1,(Project_Register!$AA$14-Project_Register!$X$14),0),(Project_Register!$AA$14-Project_Register!$X$14)*(F138-F139)/(1-Project_Register!$AC$14))))</f>
        <v>0</v>
      </c>
      <c r="G140" s="67" t="n">
        <f aca="false">IF(G$5="A",Inputs_Actuals!G84,IF((Project_Register!$AA$14-Project_Register!$X$14)&lt;=0,0,IF(1-Project_Register!$AC$14&lt;=0.000001,IF(Assumptions!G$99=Assumptions!$C$10+1,(Project_Register!$AA$14-Project_Register!$X$14),0),(Project_Register!$AA$14-Project_Register!$X$14)*(G138-G139)/(1-Project_Register!$AC$14))))</f>
        <v>0</v>
      </c>
      <c r="H140" s="67" t="n">
        <f aca="false">IF(H$5="A",Inputs_Actuals!H84,IF((Project_Register!$AA$14-Project_Register!$X$14)&lt;=0,0,IF(1-Project_Register!$AC$14&lt;=0.000001,IF(Assumptions!H$99=Assumptions!$C$10+1,(Project_Register!$AA$14-Project_Register!$X$14),0),(Project_Register!$AA$14-Project_Register!$X$14)*(H138-H139)/(1-Project_Register!$AC$14))))</f>
        <v>0</v>
      </c>
      <c r="I140" s="67" t="n">
        <f aca="false">IF(I$5="A",Inputs_Actuals!I84,IF((Project_Register!$AA$14-Project_Register!$X$14)&lt;=0,0,IF(1-Project_Register!$AC$14&lt;=0.000001,IF(Assumptions!I$99=Assumptions!$C$10+1,(Project_Register!$AA$14-Project_Register!$X$14),0),(Project_Register!$AA$14-Project_Register!$X$14)*(I138-I139)/(1-Project_Register!$AC$14))))</f>
        <v>0</v>
      </c>
      <c r="J140" s="67" t="n">
        <f aca="false">IF(J$5="A",Inputs_Actuals!J84,IF((Project_Register!$AA$14-Project_Register!$X$14)&lt;=0,0,IF(1-Project_Register!$AC$14&lt;=0.000001,IF(Assumptions!J$99=Assumptions!$C$10+1,(Project_Register!$AA$14-Project_Register!$X$14),0),(Project_Register!$AA$14-Project_Register!$X$14)*(J138-J139)/(1-Project_Register!$AC$14))))</f>
        <v>0</v>
      </c>
      <c r="K140" s="67" t="n">
        <f aca="false">IF(K$5="A",Inputs_Actuals!K84,IF((Project_Register!$AA$14-Project_Register!$X$14)&lt;=0,0,IF(1-Project_Register!$AC$14&lt;=0.000001,IF(Assumptions!K$99=Assumptions!$C$10+1,(Project_Register!$AA$14-Project_Register!$X$14),0),(Project_Register!$AA$14-Project_Register!$X$14)*(K138-K139)/(1-Project_Register!$AC$14))))</f>
        <v>77.5</v>
      </c>
      <c r="L140" s="67" t="n">
        <f aca="false">IF(L$5="A",Inputs_Actuals!L84,IF((Project_Register!$AA$14-Project_Register!$X$14)&lt;=0,0,IF(1-Project_Register!$AC$14&lt;=0.000001,IF(Assumptions!L$99=Assumptions!$C$10+1,(Project_Register!$AA$14-Project_Register!$X$14),0),(Project_Register!$AA$14-Project_Register!$X$14)*(L138-L139)/(1-Project_Register!$AC$14))))</f>
        <v>204.4</v>
      </c>
      <c r="M140" s="67" t="n">
        <f aca="false">IF(M$5="A",Inputs_Actuals!M84,IF((Project_Register!$AA$14-Project_Register!$X$14)&lt;=0,0,IF(1-Project_Register!$AC$14&lt;=0.000001,IF(Assumptions!M$99=Assumptions!$C$10+1,(Project_Register!$AA$14-Project_Register!$X$14),0),(Project_Register!$AA$14-Project_Register!$X$14)*(M138-M139)/(1-Project_Register!$AC$14))))</f>
        <v>236.662962962963</v>
      </c>
      <c r="N140" s="67" t="n">
        <f aca="false">IF(N$5="A",Inputs_Actuals!N84,IF((Project_Register!$AA$14-Project_Register!$X$14)&lt;=0,0,IF(1-Project_Register!$AC$14&lt;=0.000001,IF(Assumptions!N$99=Assumptions!$C$10+1,(Project_Register!$AA$14-Project_Register!$X$14),0),(Project_Register!$AA$14-Project_Register!$X$14)*(N138-N139)/(1-Project_Register!$AC$14))))</f>
        <v>198.285185185185</v>
      </c>
      <c r="O140" s="67" t="n">
        <f aca="false">IF(O$5="A",Inputs_Actuals!O84,IF((Project_Register!$AA$14-Project_Register!$X$14)&lt;=0,0,IF(1-Project_Register!$AC$14&lt;=0.000001,IF(Assumptions!O$99=Assumptions!$C$10+1,(Project_Register!$AA$14-Project_Register!$X$14),0),(Project_Register!$AA$14-Project_Register!$X$14)*(O138-O139)/(1-Project_Register!$AC$14))))</f>
        <v>83.1518518518518</v>
      </c>
      <c r="P140" s="67" t="n">
        <f aca="false">IF(P$5="A",Inputs_Actuals!P84,IF((Project_Register!$AA$14-Project_Register!$X$14)&lt;=0,0,IF(1-Project_Register!$AC$14&lt;=0.000001,IF(Assumptions!P$99=Assumptions!$C$10+1,(Project_Register!$AA$14-Project_Register!$X$14),0),(Project_Register!$AA$14-Project_Register!$X$14)*(P138-P139)/(1-Project_Register!$AC$14))))</f>
        <v>0</v>
      </c>
      <c r="Q140" s="67" t="n">
        <f aca="false">IF(Q$5="A",Inputs_Actuals!Q84,IF((Project_Register!$AA$14-Project_Register!$X$14)&lt;=0,0,IF(1-Project_Register!$AC$14&lt;=0.000001,IF(Assumptions!Q$99=Assumptions!$C$10+1,(Project_Register!$AA$14-Project_Register!$X$14),0),(Project_Register!$AA$14-Project_Register!$X$14)*(Q138-Q139)/(1-Project_Register!$AC$14))))</f>
        <v>0</v>
      </c>
      <c r="R140" s="67" t="n">
        <f aca="false">IF(R$5="A",Inputs_Actuals!R84,IF((Project_Register!$AA$14-Project_Register!$X$14)&lt;=0,0,IF(1-Project_Register!$AC$14&lt;=0.000001,IF(Assumptions!R$99=Assumptions!$C$10+1,(Project_Register!$AA$14-Project_Register!$X$14),0),(Project_Register!$AA$14-Project_Register!$X$14)*(R138-R139)/(1-Project_Register!$AC$14))))</f>
        <v>0</v>
      </c>
      <c r="S140" s="67" t="n">
        <f aca="false">IF(S$5="A",Inputs_Actuals!S84,IF((Project_Register!$AA$14-Project_Register!$X$14)&lt;=0,0,IF(1-Project_Register!$AC$14&lt;=0.000001,IF(Assumptions!S$99=Assumptions!$C$10+1,(Project_Register!$AA$14-Project_Register!$X$14),0),(Project_Register!$AA$14-Project_Register!$X$14)*(S138-S139)/(1-Project_Register!$AC$14))))</f>
        <v>0</v>
      </c>
      <c r="T140" s="67" t="n">
        <f aca="false">IF(T$5="A",Inputs_Actuals!T84,IF((Project_Register!$AA$14-Project_Register!$X$14)&lt;=0,0,IF(1-Project_Register!$AC$14&lt;=0.000001,IF(Assumptions!T$99=Assumptions!$C$10+1,(Project_Register!$AA$14-Project_Register!$X$14),0),(Project_Register!$AA$14-Project_Register!$X$14)*(T138-T139)/(1-Project_Register!$AC$14))))</f>
        <v>0</v>
      </c>
      <c r="U140" s="67" t="n">
        <f aca="false">IF(U$5="A",Inputs_Actuals!U84,IF((Project_Register!$AA$14-Project_Register!$X$14)&lt;=0,0,IF(1-Project_Register!$AC$14&lt;=0.000001,IF(Assumptions!U$99=Assumptions!$C$10+1,(Project_Register!$AA$14-Project_Register!$X$14),0),(Project_Register!$AA$14-Project_Register!$X$14)*(U138-U139)/(1-Project_Register!$AC$14))))</f>
        <v>0</v>
      </c>
      <c r="V140" s="67" t="n">
        <f aca="false">IF(V$5="A",Inputs_Actuals!V84,IF((Project_Register!$AA$14-Project_Register!$X$14)&lt;=0,0,IF(1-Project_Register!$AC$14&lt;=0.000001,IF(Assumptions!V$99=Assumptions!$C$10+1,(Project_Register!$AA$14-Project_Register!$X$14),0),(Project_Register!$AA$14-Project_Register!$X$14)*(V138-V139)/(1-Project_Register!$AC$14))))</f>
        <v>0</v>
      </c>
      <c r="W140" s="67" t="n">
        <f aca="false">IF(W$5="A",Inputs_Actuals!W84,IF((Project_Register!$AA$14-Project_Register!$X$14)&lt;=0,0,IF(1-Project_Register!$AC$14&lt;=0.000001,IF(Assumptions!W$99=Assumptions!$C$10+1,(Project_Register!$AA$14-Project_Register!$X$14),0),(Project_Register!$AA$14-Project_Register!$X$14)*(W138-W139)/(1-Project_Register!$AC$14))))</f>
        <v>0</v>
      </c>
      <c r="X140" s="67" t="n">
        <f aca="false">IF(X$5="A",Inputs_Actuals!X84,IF((Project_Register!$AA$14-Project_Register!$X$14)&lt;=0,0,IF(1-Project_Register!$AC$14&lt;=0.000001,IF(Assumptions!X$99=Assumptions!$C$10+1,(Project_Register!$AA$14-Project_Register!$X$14),0),(Project_Register!$AA$14-Project_Register!$X$14)*(X138-X139)/(1-Project_Register!$AC$14))))</f>
        <v>0</v>
      </c>
      <c r="Y140" s="67" t="n">
        <f aca="false">IF(Y$5="A",Inputs_Actuals!Y84,IF((Project_Register!$AA$14-Project_Register!$X$14)&lt;=0,0,IF(1-Project_Register!$AC$14&lt;=0.000001,IF(Assumptions!Y$99=Assumptions!$C$10+1,(Project_Register!$AA$14-Project_Register!$X$14),0),(Project_Register!$AA$14-Project_Register!$X$14)*(Y138-Y139)/(1-Project_Register!$AC$14))))</f>
        <v>0</v>
      </c>
      <c r="Z140" s="67" t="n">
        <f aca="false">IF(Z$5="A",Inputs_Actuals!Z84,IF((Project_Register!$AA$14-Project_Register!$X$14)&lt;=0,0,IF(1-Project_Register!$AC$14&lt;=0.000001,IF(Assumptions!Z$99=Assumptions!$C$10+1,(Project_Register!$AA$14-Project_Register!$X$14),0),(Project_Register!$AA$14-Project_Register!$X$14)*(Z138-Z139)/(1-Project_Register!$AC$14))))</f>
        <v>0</v>
      </c>
      <c r="AA140" s="67" t="n">
        <f aca="false">IF(AA$5="A",Inputs_Actuals!AA84,IF((Project_Register!$AA$14-Project_Register!$X$14)&lt;=0,0,IF(1-Project_Register!$AC$14&lt;=0.000001,IF(Assumptions!AA$99=Assumptions!$C$10+1,(Project_Register!$AA$14-Project_Register!$X$14),0),(Project_Register!$AA$14-Project_Register!$X$14)*(AA138-AA139)/(1-Project_Register!$AC$14))))</f>
        <v>0</v>
      </c>
      <c r="AB140" s="67" t="n">
        <f aca="false">IF(AB$5="A",Inputs_Actuals!AB84,IF((Project_Register!$AA$14-Project_Register!$X$14)&lt;=0,0,IF(1-Project_Register!$AC$14&lt;=0.000001,IF(Assumptions!AB$99=Assumptions!$C$10+1,(Project_Register!$AA$14-Project_Register!$X$14),0),(Project_Register!$AA$14-Project_Register!$X$14)*(AB138-AB139)/(1-Project_Register!$AC$14))))</f>
        <v>0</v>
      </c>
    </row>
    <row r="141" customFormat="false" ht="15" hidden="false" customHeight="false" outlineLevel="0" collapsed="false">
      <c r="A141" s="28" t="s">
        <v>911</v>
      </c>
      <c r="B141" s="58" t="s">
        <v>912</v>
      </c>
      <c r="C141" s="66" t="n">
        <f aca="false">P141</f>
        <v>800</v>
      </c>
      <c r="D141" s="66" t="n">
        <f aca="false">AB141</f>
        <v>800</v>
      </c>
      <c r="E141" s="67" t="n">
        <f aca="false">Project_Register!$P$14+E140</f>
        <v>0</v>
      </c>
      <c r="F141" s="72" t="n">
        <f aca="false">E141+F140</f>
        <v>0</v>
      </c>
      <c r="G141" s="72" t="n">
        <f aca="false">F141+G140</f>
        <v>0</v>
      </c>
      <c r="H141" s="72" t="n">
        <f aca="false">G141+H140</f>
        <v>0</v>
      </c>
      <c r="I141" s="72" t="n">
        <f aca="false">H141+I140</f>
        <v>0</v>
      </c>
      <c r="J141" s="72" t="n">
        <f aca="false">I141+J140</f>
        <v>0</v>
      </c>
      <c r="K141" s="72" t="n">
        <f aca="false">J141+K140</f>
        <v>77.5</v>
      </c>
      <c r="L141" s="72" t="n">
        <f aca="false">K141+L140</f>
        <v>281.9</v>
      </c>
      <c r="M141" s="72" t="n">
        <f aca="false">L141+M140</f>
        <v>518.562962962963</v>
      </c>
      <c r="N141" s="72" t="n">
        <f aca="false">M141+N140</f>
        <v>716.848148148148</v>
      </c>
      <c r="O141" s="72" t="n">
        <f aca="false">N141+O140</f>
        <v>800</v>
      </c>
      <c r="P141" s="72" t="n">
        <f aca="false">O141+P140</f>
        <v>800</v>
      </c>
      <c r="Q141" s="72" t="n">
        <f aca="false">P141+Q140</f>
        <v>800</v>
      </c>
      <c r="R141" s="72" t="n">
        <f aca="false">Q141+R140</f>
        <v>800</v>
      </c>
      <c r="S141" s="72" t="n">
        <f aca="false">R141+S140</f>
        <v>800</v>
      </c>
      <c r="T141" s="72" t="n">
        <f aca="false">S141+T140</f>
        <v>800</v>
      </c>
      <c r="U141" s="72" t="n">
        <f aca="false">T141+U140</f>
        <v>800</v>
      </c>
      <c r="V141" s="72" t="n">
        <f aca="false">U141+V140</f>
        <v>800</v>
      </c>
      <c r="W141" s="72" t="n">
        <f aca="false">V141+W140</f>
        <v>800</v>
      </c>
      <c r="X141" s="72" t="n">
        <f aca="false">W141+X140</f>
        <v>800</v>
      </c>
      <c r="Y141" s="72" t="n">
        <f aca="false">X141+Y140</f>
        <v>800</v>
      </c>
      <c r="Z141" s="72" t="n">
        <f aca="false">Y141+Z140</f>
        <v>800</v>
      </c>
      <c r="AA141" s="72" t="n">
        <f aca="false">Z141+AA140</f>
        <v>800</v>
      </c>
      <c r="AB141" s="72" t="n">
        <f aca="false">AA141+AB140</f>
        <v>800</v>
      </c>
    </row>
    <row r="142" customFormat="false" ht="15" hidden="false" customHeight="false" outlineLevel="0" collapsed="false">
      <c r="A142" s="28" t="s">
        <v>913</v>
      </c>
      <c r="B142" s="58" t="s">
        <v>914</v>
      </c>
      <c r="C142" s="66" t="n">
        <f aca="false">P142</f>
        <v>800</v>
      </c>
      <c r="D142" s="66" t="n">
        <f aca="false">AB142</f>
        <v>800</v>
      </c>
      <c r="E142" s="67" t="n">
        <f aca="false">IF(E$5="A",IF(E141+N(Inputs_Actuals!E85)&lt;=0,Project_Register!$AA$14,E141+N(Inputs_Actuals!E85)),Project_Register!$AA$14)</f>
        <v>800</v>
      </c>
      <c r="F142" s="67" t="n">
        <f aca="false">IF(F$5="A",IF(F141+N(Inputs_Actuals!F85)&lt;=0,Project_Register!$AA$14,F141+N(Inputs_Actuals!F85)),Project_Register!$AA$14)</f>
        <v>800</v>
      </c>
      <c r="G142" s="67" t="n">
        <f aca="false">IF(G$5="A",IF(G141+N(Inputs_Actuals!G85)&lt;=0,Project_Register!$AA$14,G141+N(Inputs_Actuals!G85)),Project_Register!$AA$14)</f>
        <v>800</v>
      </c>
      <c r="H142" s="67" t="n">
        <f aca="false">IF(H$5="A",IF(H141+N(Inputs_Actuals!H85)&lt;=0,Project_Register!$AA$14,H141+N(Inputs_Actuals!H85)),Project_Register!$AA$14)</f>
        <v>800</v>
      </c>
      <c r="I142" s="67" t="n">
        <f aca="false">IF(I$5="A",IF(I141+N(Inputs_Actuals!I85)&lt;=0,Project_Register!$AA$14,I141+N(Inputs_Actuals!I85)),Project_Register!$AA$14)</f>
        <v>800</v>
      </c>
      <c r="J142" s="67" t="n">
        <f aca="false">IF(J$5="A",IF(J141+N(Inputs_Actuals!J85)&lt;=0,Project_Register!$AA$14,J141+N(Inputs_Actuals!J85)),Project_Register!$AA$14)</f>
        <v>800</v>
      </c>
      <c r="K142" s="67" t="n">
        <f aca="false">IF(K$5="A",IF(K141+N(Inputs_Actuals!K85)&lt;=0,Project_Register!$AA$14,K141+N(Inputs_Actuals!K85)),Project_Register!$AA$14)</f>
        <v>800</v>
      </c>
      <c r="L142" s="67" t="n">
        <f aca="false">IF(L$5="A",IF(L141+N(Inputs_Actuals!L85)&lt;=0,Project_Register!$AA$14,L141+N(Inputs_Actuals!L85)),Project_Register!$AA$14)</f>
        <v>800</v>
      </c>
      <c r="M142" s="67" t="n">
        <f aca="false">IF(M$5="A",IF(M141+N(Inputs_Actuals!M85)&lt;=0,Project_Register!$AA$14,M141+N(Inputs_Actuals!M85)),Project_Register!$AA$14)</f>
        <v>800</v>
      </c>
      <c r="N142" s="67" t="n">
        <f aca="false">IF(N$5="A",IF(N141+N(Inputs_Actuals!N85)&lt;=0,Project_Register!$AA$14,N141+N(Inputs_Actuals!N85)),Project_Register!$AA$14)</f>
        <v>800</v>
      </c>
      <c r="O142" s="67" t="n">
        <f aca="false">IF(O$5="A",IF(O141+N(Inputs_Actuals!O85)&lt;=0,Project_Register!$AA$14,O141+N(Inputs_Actuals!O85)),Project_Register!$AA$14)</f>
        <v>800</v>
      </c>
      <c r="P142" s="67" t="n">
        <f aca="false">IF(P$5="A",IF(P141+N(Inputs_Actuals!P85)&lt;=0,Project_Register!$AA$14,P141+N(Inputs_Actuals!P85)),Project_Register!$AA$14)</f>
        <v>800</v>
      </c>
      <c r="Q142" s="67" t="n">
        <f aca="false">IF(Q$5="A",IF(Q141+N(Inputs_Actuals!Q85)&lt;=0,Project_Register!$AA$14,Q141+N(Inputs_Actuals!Q85)),Project_Register!$AA$14)</f>
        <v>800</v>
      </c>
      <c r="R142" s="67" t="n">
        <f aca="false">IF(R$5="A",IF(R141+N(Inputs_Actuals!R85)&lt;=0,Project_Register!$AA$14,R141+N(Inputs_Actuals!R85)),Project_Register!$AA$14)</f>
        <v>800</v>
      </c>
      <c r="S142" s="67" t="n">
        <f aca="false">IF(S$5="A",IF(S141+N(Inputs_Actuals!S85)&lt;=0,Project_Register!$AA$14,S141+N(Inputs_Actuals!S85)),Project_Register!$AA$14)</f>
        <v>800</v>
      </c>
      <c r="T142" s="67" t="n">
        <f aca="false">IF(T$5="A",IF(T141+N(Inputs_Actuals!T85)&lt;=0,Project_Register!$AA$14,T141+N(Inputs_Actuals!T85)),Project_Register!$AA$14)</f>
        <v>800</v>
      </c>
      <c r="U142" s="67" t="n">
        <f aca="false">IF(U$5="A",IF(U141+N(Inputs_Actuals!U85)&lt;=0,Project_Register!$AA$14,U141+N(Inputs_Actuals!U85)),Project_Register!$AA$14)</f>
        <v>800</v>
      </c>
      <c r="V142" s="67" t="n">
        <f aca="false">IF(V$5="A",IF(V141+N(Inputs_Actuals!V85)&lt;=0,Project_Register!$AA$14,V141+N(Inputs_Actuals!V85)),Project_Register!$AA$14)</f>
        <v>800</v>
      </c>
      <c r="W142" s="67" t="n">
        <f aca="false">IF(W$5="A",IF(W141+N(Inputs_Actuals!W85)&lt;=0,Project_Register!$AA$14,W141+N(Inputs_Actuals!W85)),Project_Register!$AA$14)</f>
        <v>800</v>
      </c>
      <c r="X142" s="67" t="n">
        <f aca="false">IF(X$5="A",IF(X141+N(Inputs_Actuals!X85)&lt;=0,Project_Register!$AA$14,X141+N(Inputs_Actuals!X85)),Project_Register!$AA$14)</f>
        <v>800</v>
      </c>
      <c r="Y142" s="67" t="n">
        <f aca="false">IF(Y$5="A",IF(Y141+N(Inputs_Actuals!Y85)&lt;=0,Project_Register!$AA$14,Y141+N(Inputs_Actuals!Y85)),Project_Register!$AA$14)</f>
        <v>800</v>
      </c>
      <c r="Z142" s="67" t="n">
        <f aca="false">IF(Z$5="A",IF(Z141+N(Inputs_Actuals!Z85)&lt;=0,Project_Register!$AA$14,Z141+N(Inputs_Actuals!Z85)),Project_Register!$AA$14)</f>
        <v>800</v>
      </c>
      <c r="AA142" s="67" t="n">
        <f aca="false">IF(AA$5="A",IF(AA141+N(Inputs_Actuals!AA85)&lt;=0,Project_Register!$AA$14,AA141+N(Inputs_Actuals!AA85)),Project_Register!$AA$14)</f>
        <v>800</v>
      </c>
      <c r="AB142" s="67" t="n">
        <f aca="false">IF(AB$5="A",IF(AB141+N(Inputs_Actuals!AB85)&lt;=0,Project_Register!$AA$14,AB141+N(Inputs_Actuals!AB85)),Project_Register!$AA$14)</f>
        <v>800</v>
      </c>
    </row>
    <row r="143" customFormat="false" ht="15" hidden="false" customHeight="false" outlineLevel="0" collapsed="false">
      <c r="A143" s="28" t="s">
        <v>915</v>
      </c>
      <c r="B143" s="58" t="s">
        <v>916</v>
      </c>
      <c r="C143" s="61" t="n">
        <f aca="false">P143</f>
        <v>1</v>
      </c>
      <c r="D143" s="61" t="n">
        <f aca="false">AB143</f>
        <v>1</v>
      </c>
      <c r="E143" s="62" t="n">
        <f aca="false">IF(E142&lt;=0,0,MIN(1,E141/E142))</f>
        <v>0</v>
      </c>
      <c r="F143" s="62" t="n">
        <f aca="false">IF(F142&lt;=0,0,MIN(1,F141/F142))</f>
        <v>0</v>
      </c>
      <c r="G143" s="62" t="n">
        <f aca="false">IF(G142&lt;=0,0,MIN(1,G141/G142))</f>
        <v>0</v>
      </c>
      <c r="H143" s="62" t="n">
        <f aca="false">IF(H142&lt;=0,0,MIN(1,H141/H142))</f>
        <v>0</v>
      </c>
      <c r="I143" s="62" t="n">
        <f aca="false">IF(I142&lt;=0,0,MIN(1,I141/I142))</f>
        <v>0</v>
      </c>
      <c r="J143" s="62" t="n">
        <f aca="false">IF(J142&lt;=0,0,MIN(1,J141/J142))</f>
        <v>0</v>
      </c>
      <c r="K143" s="62" t="n">
        <f aca="false">IF(K142&lt;=0,0,MIN(1,K141/K142))</f>
        <v>0.096875</v>
      </c>
      <c r="L143" s="62" t="n">
        <f aca="false">IF(L142&lt;=0,0,MIN(1,L141/L142))</f>
        <v>0.352375</v>
      </c>
      <c r="M143" s="62" t="n">
        <f aca="false">IF(M142&lt;=0,0,MIN(1,M141/M142))</f>
        <v>0.648203703703704</v>
      </c>
      <c r="N143" s="62" t="n">
        <f aca="false">IF(N142&lt;=0,0,MIN(1,N141/N142))</f>
        <v>0.896060185185185</v>
      </c>
      <c r="O143" s="62" t="n">
        <f aca="false">IF(O142&lt;=0,0,MIN(1,O141/O142))</f>
        <v>1</v>
      </c>
      <c r="P143" s="62" t="n">
        <f aca="false">IF(P142&lt;=0,0,MIN(1,P141/P142))</f>
        <v>1</v>
      </c>
      <c r="Q143" s="62" t="n">
        <f aca="false">IF(Q142&lt;=0,0,MIN(1,Q141/Q142))</f>
        <v>1</v>
      </c>
      <c r="R143" s="62" t="n">
        <f aca="false">IF(R142&lt;=0,0,MIN(1,R141/R142))</f>
        <v>1</v>
      </c>
      <c r="S143" s="62" t="n">
        <f aca="false">IF(S142&lt;=0,0,MIN(1,S141/S142))</f>
        <v>1</v>
      </c>
      <c r="T143" s="62" t="n">
        <f aca="false">IF(T142&lt;=0,0,MIN(1,T141/T142))</f>
        <v>1</v>
      </c>
      <c r="U143" s="62" t="n">
        <f aca="false">IF(U142&lt;=0,0,MIN(1,U141/U142))</f>
        <v>1</v>
      </c>
      <c r="V143" s="62" t="n">
        <f aca="false">IF(V142&lt;=0,0,MIN(1,V141/V142))</f>
        <v>1</v>
      </c>
      <c r="W143" s="62" t="n">
        <f aca="false">IF(W142&lt;=0,0,MIN(1,W141/W142))</f>
        <v>1</v>
      </c>
      <c r="X143" s="62" t="n">
        <f aca="false">IF(X142&lt;=0,0,MIN(1,X141/X142))</f>
        <v>1</v>
      </c>
      <c r="Y143" s="62" t="n">
        <f aca="false">IF(Y142&lt;=0,0,MIN(1,Y141/Y142))</f>
        <v>1</v>
      </c>
      <c r="Z143" s="62" t="n">
        <f aca="false">IF(Z142&lt;=0,0,MIN(1,Z141/Z142))</f>
        <v>1</v>
      </c>
      <c r="AA143" s="62" t="n">
        <f aca="false">IF(AA142&lt;=0,0,MIN(1,AA141/AA142))</f>
        <v>1</v>
      </c>
      <c r="AB143" s="62" t="n">
        <f aca="false">IF(AB142&lt;=0,0,MIN(1,AB141/AB142))</f>
        <v>1</v>
      </c>
    </row>
    <row r="144" customFormat="false" ht="15" hidden="false" customHeight="false" outlineLevel="0" collapsed="false">
      <c r="A144" s="28" t="s">
        <v>917</v>
      </c>
      <c r="B144" s="58" t="s">
        <v>918</v>
      </c>
      <c r="C144" s="59" t="n">
        <f aca="false">P144</f>
        <v>85000</v>
      </c>
      <c r="D144" s="59" t="n">
        <f aca="false">AB144</f>
        <v>85000</v>
      </c>
      <c r="E144" s="60" t="n">
        <f aca="false">IF(E$5="A",N(Inputs_Actuals!E86),Project_Register!$W$14)</f>
        <v>0</v>
      </c>
      <c r="F144" s="60" t="n">
        <f aca="false">IF(F$5="A",N(Inputs_Actuals!F86),Project_Register!$W$14)</f>
        <v>0</v>
      </c>
      <c r="G144" s="60" t="n">
        <f aca="false">IF(G$5="A",N(Inputs_Actuals!G86),Project_Register!$W$14)</f>
        <v>0</v>
      </c>
      <c r="H144" s="60" t="n">
        <f aca="false">IF(H$5="A",N(Inputs_Actuals!H86),Project_Register!$W$14)</f>
        <v>0</v>
      </c>
      <c r="I144" s="60" t="n">
        <f aca="false">IF(I$5="A",N(Inputs_Actuals!I86),Project_Register!$W$14)</f>
        <v>0</v>
      </c>
      <c r="J144" s="60" t="n">
        <f aca="false">IF(J$5="A",N(Inputs_Actuals!J86),Project_Register!$W$14)</f>
        <v>0</v>
      </c>
      <c r="K144" s="60" t="n">
        <f aca="false">IF(K$5="A",N(Inputs_Actuals!K86),Project_Register!$W$14)</f>
        <v>85000</v>
      </c>
      <c r="L144" s="60" t="n">
        <f aca="false">IF(L$5="A",N(Inputs_Actuals!L86),Project_Register!$W$14)</f>
        <v>85000</v>
      </c>
      <c r="M144" s="60" t="n">
        <f aca="false">IF(M$5="A",N(Inputs_Actuals!M86),Project_Register!$W$14)</f>
        <v>85000</v>
      </c>
      <c r="N144" s="60" t="n">
        <f aca="false">IF(N$5="A",N(Inputs_Actuals!N86),Project_Register!$W$14)</f>
        <v>85000</v>
      </c>
      <c r="O144" s="60" t="n">
        <f aca="false">IF(O$5="A",N(Inputs_Actuals!O86),Project_Register!$W$14)</f>
        <v>85000</v>
      </c>
      <c r="P144" s="60" t="n">
        <f aca="false">IF(P$5="A",N(Inputs_Actuals!P86),Project_Register!$W$14)</f>
        <v>85000</v>
      </c>
      <c r="Q144" s="60" t="n">
        <f aca="false">IF(Q$5="A",N(Inputs_Actuals!Q86),Project_Register!$W$14)</f>
        <v>85000</v>
      </c>
      <c r="R144" s="60" t="n">
        <f aca="false">IF(R$5="A",N(Inputs_Actuals!R86),Project_Register!$W$14)</f>
        <v>85000</v>
      </c>
      <c r="S144" s="60" t="n">
        <f aca="false">IF(S$5="A",N(Inputs_Actuals!S86),Project_Register!$W$14)</f>
        <v>85000</v>
      </c>
      <c r="T144" s="60" t="n">
        <f aca="false">IF(T$5="A",N(Inputs_Actuals!T86),Project_Register!$W$14)</f>
        <v>85000</v>
      </c>
      <c r="U144" s="60" t="n">
        <f aca="false">IF(U$5="A",N(Inputs_Actuals!U86),Project_Register!$W$14)</f>
        <v>85000</v>
      </c>
      <c r="V144" s="60" t="n">
        <f aca="false">IF(V$5="A",N(Inputs_Actuals!V86),Project_Register!$W$14)</f>
        <v>85000</v>
      </c>
      <c r="W144" s="60" t="n">
        <f aca="false">IF(W$5="A",N(Inputs_Actuals!W86),Project_Register!$W$14)</f>
        <v>85000</v>
      </c>
      <c r="X144" s="60" t="n">
        <f aca="false">IF(X$5="A",N(Inputs_Actuals!X86),Project_Register!$W$14)</f>
        <v>85000</v>
      </c>
      <c r="Y144" s="60" t="n">
        <f aca="false">IF(Y$5="A",N(Inputs_Actuals!Y86),Project_Register!$W$14)</f>
        <v>85000</v>
      </c>
      <c r="Z144" s="60" t="n">
        <f aca="false">IF(Z$5="A",N(Inputs_Actuals!Z86),Project_Register!$W$14)</f>
        <v>85000</v>
      </c>
      <c r="AA144" s="60" t="n">
        <f aca="false">IF(AA$5="A",N(Inputs_Actuals!AA86),Project_Register!$W$14)</f>
        <v>85000</v>
      </c>
      <c r="AB144" s="60" t="n">
        <f aca="false">IF(AB$5="A",N(Inputs_Actuals!AB86),Project_Register!$W$14)</f>
        <v>85000</v>
      </c>
    </row>
    <row r="145" customFormat="false" ht="15" hidden="false" customHeight="false" outlineLevel="0" collapsed="false">
      <c r="A145" s="28" t="s">
        <v>919</v>
      </c>
      <c r="B145" s="58" t="s">
        <v>920</v>
      </c>
      <c r="C145" s="59" t="n">
        <f aca="false">P145</f>
        <v>85000</v>
      </c>
      <c r="D145" s="59" t="n">
        <f aca="false">AB145</f>
        <v>85000</v>
      </c>
      <c r="E145" s="60" t="n">
        <f aca="false">IF(E$5="A",Project_Register!$Q$14+Inputs_Actuals!E87,E143*E144)</f>
        <v>0</v>
      </c>
      <c r="F145" s="60" t="n">
        <f aca="false">IF(F$5="A",E145+Inputs_Actuals!F87,F143*F144)</f>
        <v>0</v>
      </c>
      <c r="G145" s="60" t="n">
        <f aca="false">IF(G$5="A",F145+Inputs_Actuals!G87,G143*G144)</f>
        <v>0</v>
      </c>
      <c r="H145" s="60" t="n">
        <f aca="false">IF(H$5="A",G145+Inputs_Actuals!H87,H143*H144)</f>
        <v>0</v>
      </c>
      <c r="I145" s="60" t="n">
        <f aca="false">IF(I$5="A",H145+Inputs_Actuals!I87,I143*I144)</f>
        <v>0</v>
      </c>
      <c r="J145" s="60" t="n">
        <f aca="false">IF(J$5="A",I145+Inputs_Actuals!J87,J143*J144)</f>
        <v>0</v>
      </c>
      <c r="K145" s="60" t="n">
        <f aca="false">IF(K$5="A",J145+Inputs_Actuals!K87,K143*K144)</f>
        <v>8234.38</v>
      </c>
      <c r="L145" s="60" t="n">
        <f aca="false">IF(L$5="A",K145+Inputs_Actuals!L87,L143*L144)</f>
        <v>29951.88</v>
      </c>
      <c r="M145" s="60" t="n">
        <f aca="false">IF(M$5="A",L145+Inputs_Actuals!M87,M143*M144)</f>
        <v>55097.3148148148</v>
      </c>
      <c r="N145" s="60" t="n">
        <f aca="false">IF(N$5="A",M145+Inputs_Actuals!N87,N143*N144)</f>
        <v>76165.1157407407</v>
      </c>
      <c r="O145" s="60" t="n">
        <f aca="false">IF(O$5="A",N145+Inputs_Actuals!O87,O143*O144)</f>
        <v>85000</v>
      </c>
      <c r="P145" s="60" t="n">
        <f aca="false">IF(P$5="A",O145+Inputs_Actuals!P87,P143*P144)</f>
        <v>85000</v>
      </c>
      <c r="Q145" s="60" t="n">
        <f aca="false">IF(Q$5="A",P145+Inputs_Actuals!Q87,Q143*Q144)</f>
        <v>85000</v>
      </c>
      <c r="R145" s="60" t="n">
        <f aca="false">IF(R$5="A",Q145+Inputs_Actuals!R87,R143*R144)</f>
        <v>85000</v>
      </c>
      <c r="S145" s="60" t="n">
        <f aca="false">IF(S$5="A",R145+Inputs_Actuals!S87,S143*S144)</f>
        <v>85000</v>
      </c>
      <c r="T145" s="60" t="n">
        <f aca="false">IF(T$5="A",S145+Inputs_Actuals!T87,T143*T144)</f>
        <v>85000</v>
      </c>
      <c r="U145" s="60" t="n">
        <f aca="false">IF(U$5="A",T145+Inputs_Actuals!U87,U143*U144)</f>
        <v>85000</v>
      </c>
      <c r="V145" s="60" t="n">
        <f aca="false">IF(V$5="A",U145+Inputs_Actuals!V87,V143*V144)</f>
        <v>85000</v>
      </c>
      <c r="W145" s="60" t="n">
        <f aca="false">IF(W$5="A",V145+Inputs_Actuals!W87,W143*W144)</f>
        <v>85000</v>
      </c>
      <c r="X145" s="60" t="n">
        <f aca="false">IF(X$5="A",W145+Inputs_Actuals!X87,X143*X144)</f>
        <v>85000</v>
      </c>
      <c r="Y145" s="60" t="n">
        <f aca="false">IF(Y$5="A",X145+Inputs_Actuals!Y87,Y143*Y144)</f>
        <v>85000</v>
      </c>
      <c r="Z145" s="60" t="n">
        <f aca="false">IF(Z$5="A",Y145+Inputs_Actuals!Z87,Z143*Z144)</f>
        <v>85000</v>
      </c>
      <c r="AA145" s="60" t="n">
        <f aca="false">IF(AA$5="A",Z145+Inputs_Actuals!AA87,AA143*AA144)</f>
        <v>85000</v>
      </c>
      <c r="AB145" s="60" t="n">
        <f aca="false">IF(AB$5="A",AA145+Inputs_Actuals!AB87,AB143*AB144)</f>
        <v>85000</v>
      </c>
    </row>
    <row r="146" customFormat="false" ht="15" hidden="false" customHeight="false" outlineLevel="0" collapsed="false">
      <c r="A146" s="68" t="s">
        <v>934</v>
      </c>
      <c r="B146" s="69" t="s">
        <v>922</v>
      </c>
      <c r="C146" s="70" t="n">
        <f aca="false">SUM(E146:P146)</f>
        <v>85000</v>
      </c>
      <c r="D146" s="70" t="n">
        <f aca="false">SUM(Q146:AB146)</f>
        <v>0</v>
      </c>
      <c r="E146" s="74" t="n">
        <f aca="false">E145-Project_Register!$Q$14</f>
        <v>0</v>
      </c>
      <c r="F146" s="70" t="n">
        <f aca="false">F145-E145</f>
        <v>0</v>
      </c>
      <c r="G146" s="70" t="n">
        <f aca="false">G145-F145</f>
        <v>0</v>
      </c>
      <c r="H146" s="70" t="n">
        <f aca="false">H145-G145</f>
        <v>0</v>
      </c>
      <c r="I146" s="70" t="n">
        <f aca="false">I145-H145</f>
        <v>0</v>
      </c>
      <c r="J146" s="70" t="n">
        <f aca="false">J145-I145</f>
        <v>0</v>
      </c>
      <c r="K146" s="70" t="n">
        <f aca="false">K145-J145</f>
        <v>8234.38</v>
      </c>
      <c r="L146" s="70" t="n">
        <f aca="false">L145-K145</f>
        <v>21717.5</v>
      </c>
      <c r="M146" s="70" t="n">
        <f aca="false">M145-L145</f>
        <v>25145.4348148148</v>
      </c>
      <c r="N146" s="70" t="n">
        <f aca="false">N145-M145</f>
        <v>21067.8009259259</v>
      </c>
      <c r="O146" s="70" t="n">
        <f aca="false">O145-N145</f>
        <v>8834.88425925926</v>
      </c>
      <c r="P146" s="70" t="n">
        <f aca="false">P145-O145</f>
        <v>0</v>
      </c>
      <c r="Q146" s="70" t="n">
        <f aca="false">Q145-P145</f>
        <v>0</v>
      </c>
      <c r="R146" s="70" t="n">
        <f aca="false">R145-Q145</f>
        <v>0</v>
      </c>
      <c r="S146" s="70" t="n">
        <f aca="false">S145-R145</f>
        <v>0</v>
      </c>
      <c r="T146" s="70" t="n">
        <f aca="false">T145-S145</f>
        <v>0</v>
      </c>
      <c r="U146" s="70" t="n">
        <f aca="false">U145-T145</f>
        <v>0</v>
      </c>
      <c r="V146" s="70" t="n">
        <f aca="false">V145-U145</f>
        <v>0</v>
      </c>
      <c r="W146" s="70" t="n">
        <f aca="false">W145-V145</f>
        <v>0</v>
      </c>
      <c r="X146" s="70" t="n">
        <f aca="false">X145-W145</f>
        <v>0</v>
      </c>
      <c r="Y146" s="70" t="n">
        <f aca="false">Y145-X145</f>
        <v>0</v>
      </c>
      <c r="Z146" s="70" t="n">
        <f aca="false">Z145-Y145</f>
        <v>0</v>
      </c>
      <c r="AA146" s="70" t="n">
        <f aca="false">AA145-Z145</f>
        <v>0</v>
      </c>
      <c r="AB146" s="70" t="n">
        <f aca="false">AB145-AA145</f>
        <v>0</v>
      </c>
    </row>
    <row r="147" customFormat="false" ht="15" hidden="false" customHeight="false" outlineLevel="0" collapsed="false">
      <c r="A147" s="28" t="s">
        <v>923</v>
      </c>
      <c r="B147" s="58" t="s">
        <v>924</v>
      </c>
      <c r="C147" s="59" t="n">
        <f aca="false">P147</f>
        <v>85000</v>
      </c>
      <c r="D147" s="59" t="n">
        <f aca="false">AB147</f>
        <v>85000</v>
      </c>
      <c r="E147" s="60" t="n">
        <f aca="false">E144*(Assumptions!$C$71*(Assumptions!E$99&gt;=Project_Register!$T$14)+Assumptions!$C$72*(Assumptions!E$99&gt;=Project_Register!$V$14)+Assumptions!$C$73*(Assumptions!E$99&gt;=Project_Register!$U$14))</f>
        <v>0</v>
      </c>
      <c r="F147" s="60" t="n">
        <f aca="false">F144*(Assumptions!$C$71*(Assumptions!F$99&gt;=Project_Register!$T$14)+Assumptions!$C$72*(Assumptions!F$99&gt;=Project_Register!$V$14)+Assumptions!$C$73*(Assumptions!F$99&gt;=Project_Register!$U$14))</f>
        <v>0</v>
      </c>
      <c r="G147" s="60" t="n">
        <f aca="false">G144*(Assumptions!$C$71*(Assumptions!G$99&gt;=Project_Register!$T$14)+Assumptions!$C$72*(Assumptions!G$99&gt;=Project_Register!$V$14)+Assumptions!$C$73*(Assumptions!G$99&gt;=Project_Register!$U$14))</f>
        <v>0</v>
      </c>
      <c r="H147" s="60" t="n">
        <f aca="false">H144*(Assumptions!$C$71*(Assumptions!H$99&gt;=Project_Register!$T$14)+Assumptions!$C$72*(Assumptions!H$99&gt;=Project_Register!$V$14)+Assumptions!$C$73*(Assumptions!H$99&gt;=Project_Register!$U$14))</f>
        <v>0</v>
      </c>
      <c r="I147" s="60" t="n">
        <f aca="false">I144*(Assumptions!$C$71*(Assumptions!I$99&gt;=Project_Register!$T$14)+Assumptions!$C$72*(Assumptions!I$99&gt;=Project_Register!$V$14)+Assumptions!$C$73*(Assumptions!I$99&gt;=Project_Register!$U$14))</f>
        <v>0</v>
      </c>
      <c r="J147" s="60" t="n">
        <f aca="false">J144*(Assumptions!$C$71*(Assumptions!J$99&gt;=Project_Register!$T$14)+Assumptions!$C$72*(Assumptions!J$99&gt;=Project_Register!$V$14)+Assumptions!$C$73*(Assumptions!J$99&gt;=Project_Register!$U$14))</f>
        <v>0</v>
      </c>
      <c r="K147" s="60" t="n">
        <f aca="false">K144*(Assumptions!$C$71*(Assumptions!K$99&gt;=Project_Register!$T$14)+Assumptions!$C$72*(Assumptions!K$99&gt;=Project_Register!$V$14)+Assumptions!$C$73*(Assumptions!K$99&gt;=Project_Register!$U$14))</f>
        <v>25500</v>
      </c>
      <c r="L147" s="60" t="n">
        <f aca="false">L144*(Assumptions!$C$71*(Assumptions!L$99&gt;=Project_Register!$T$14)+Assumptions!$C$72*(Assumptions!L$99&gt;=Project_Register!$V$14)+Assumptions!$C$73*(Assumptions!L$99&gt;=Project_Register!$U$14))</f>
        <v>25500</v>
      </c>
      <c r="M147" s="60" t="n">
        <f aca="false">M144*(Assumptions!$C$71*(Assumptions!M$99&gt;=Project_Register!$T$14)+Assumptions!$C$72*(Assumptions!M$99&gt;=Project_Register!$V$14)+Assumptions!$C$73*(Assumptions!M$99&gt;=Project_Register!$U$14))</f>
        <v>59500</v>
      </c>
      <c r="N147" s="60" t="n">
        <f aca="false">N144*(Assumptions!$C$71*(Assumptions!N$99&gt;=Project_Register!$T$14)+Assumptions!$C$72*(Assumptions!N$99&gt;=Project_Register!$V$14)+Assumptions!$C$73*(Assumptions!N$99&gt;=Project_Register!$U$14))</f>
        <v>59500</v>
      </c>
      <c r="O147" s="60" t="n">
        <f aca="false">O144*(Assumptions!$C$71*(Assumptions!O$99&gt;=Project_Register!$T$14)+Assumptions!$C$72*(Assumptions!O$99&gt;=Project_Register!$V$14)+Assumptions!$C$73*(Assumptions!O$99&gt;=Project_Register!$U$14))</f>
        <v>85000</v>
      </c>
      <c r="P147" s="60" t="n">
        <f aca="false">P144*(Assumptions!$C$71*(Assumptions!P$99&gt;=Project_Register!$T$14)+Assumptions!$C$72*(Assumptions!P$99&gt;=Project_Register!$V$14)+Assumptions!$C$73*(Assumptions!P$99&gt;=Project_Register!$U$14))</f>
        <v>85000</v>
      </c>
      <c r="Q147" s="60" t="n">
        <f aca="false">Q144*(Assumptions!$C$71*(Assumptions!Q$99&gt;=Project_Register!$T$14)+Assumptions!$C$72*(Assumptions!Q$99&gt;=Project_Register!$V$14)+Assumptions!$C$73*(Assumptions!Q$99&gt;=Project_Register!$U$14))</f>
        <v>85000</v>
      </c>
      <c r="R147" s="60" t="n">
        <f aca="false">R144*(Assumptions!$C$71*(Assumptions!R$99&gt;=Project_Register!$T$14)+Assumptions!$C$72*(Assumptions!R$99&gt;=Project_Register!$V$14)+Assumptions!$C$73*(Assumptions!R$99&gt;=Project_Register!$U$14))</f>
        <v>85000</v>
      </c>
      <c r="S147" s="60" t="n">
        <f aca="false">S144*(Assumptions!$C$71*(Assumptions!S$99&gt;=Project_Register!$T$14)+Assumptions!$C$72*(Assumptions!S$99&gt;=Project_Register!$V$14)+Assumptions!$C$73*(Assumptions!S$99&gt;=Project_Register!$U$14))</f>
        <v>85000</v>
      </c>
      <c r="T147" s="60" t="n">
        <f aca="false">T144*(Assumptions!$C$71*(Assumptions!T$99&gt;=Project_Register!$T$14)+Assumptions!$C$72*(Assumptions!T$99&gt;=Project_Register!$V$14)+Assumptions!$C$73*(Assumptions!T$99&gt;=Project_Register!$U$14))</f>
        <v>85000</v>
      </c>
      <c r="U147" s="60" t="n">
        <f aca="false">U144*(Assumptions!$C$71*(Assumptions!U$99&gt;=Project_Register!$T$14)+Assumptions!$C$72*(Assumptions!U$99&gt;=Project_Register!$V$14)+Assumptions!$C$73*(Assumptions!U$99&gt;=Project_Register!$U$14))</f>
        <v>85000</v>
      </c>
      <c r="V147" s="60" t="n">
        <f aca="false">V144*(Assumptions!$C$71*(Assumptions!V$99&gt;=Project_Register!$T$14)+Assumptions!$C$72*(Assumptions!V$99&gt;=Project_Register!$V$14)+Assumptions!$C$73*(Assumptions!V$99&gt;=Project_Register!$U$14))</f>
        <v>85000</v>
      </c>
      <c r="W147" s="60" t="n">
        <f aca="false">W144*(Assumptions!$C$71*(Assumptions!W$99&gt;=Project_Register!$T$14)+Assumptions!$C$72*(Assumptions!W$99&gt;=Project_Register!$V$14)+Assumptions!$C$73*(Assumptions!W$99&gt;=Project_Register!$U$14))</f>
        <v>85000</v>
      </c>
      <c r="X147" s="60" t="n">
        <f aca="false">X144*(Assumptions!$C$71*(Assumptions!X$99&gt;=Project_Register!$T$14)+Assumptions!$C$72*(Assumptions!X$99&gt;=Project_Register!$V$14)+Assumptions!$C$73*(Assumptions!X$99&gt;=Project_Register!$U$14))</f>
        <v>85000</v>
      </c>
      <c r="Y147" s="60" t="n">
        <f aca="false">Y144*(Assumptions!$C$71*(Assumptions!Y$99&gt;=Project_Register!$T$14)+Assumptions!$C$72*(Assumptions!Y$99&gt;=Project_Register!$V$14)+Assumptions!$C$73*(Assumptions!Y$99&gt;=Project_Register!$U$14))</f>
        <v>85000</v>
      </c>
      <c r="Z147" s="60" t="n">
        <f aca="false">Z144*(Assumptions!$C$71*(Assumptions!Z$99&gt;=Project_Register!$T$14)+Assumptions!$C$72*(Assumptions!Z$99&gt;=Project_Register!$V$14)+Assumptions!$C$73*(Assumptions!Z$99&gt;=Project_Register!$U$14))</f>
        <v>85000</v>
      </c>
      <c r="AA147" s="60" t="n">
        <f aca="false">AA144*(Assumptions!$C$71*(Assumptions!AA$99&gt;=Project_Register!$T$14)+Assumptions!$C$72*(Assumptions!AA$99&gt;=Project_Register!$V$14)+Assumptions!$C$73*(Assumptions!AA$99&gt;=Project_Register!$U$14))</f>
        <v>85000</v>
      </c>
      <c r="AB147" s="60" t="n">
        <f aca="false">AB144*(Assumptions!$C$71*(Assumptions!AB$99&gt;=Project_Register!$T$14)+Assumptions!$C$72*(Assumptions!AB$99&gt;=Project_Register!$V$14)+Assumptions!$C$73*(Assumptions!AB$99&gt;=Project_Register!$U$14))</f>
        <v>85000</v>
      </c>
    </row>
    <row r="148" customFormat="false" ht="15" hidden="false" customHeight="false" outlineLevel="0" collapsed="false">
      <c r="A148" s="28" t="s">
        <v>925</v>
      </c>
      <c r="B148" s="58" t="s">
        <v>926</v>
      </c>
      <c r="C148" s="59" t="n">
        <f aca="false">SUM(E148:P148)</f>
        <v>85000</v>
      </c>
      <c r="D148" s="59" t="n">
        <f aca="false">SUM(Q148:AB148)</f>
        <v>0</v>
      </c>
      <c r="E148" s="60" t="n">
        <f aca="false">IF(E$5="A",Inputs_Actuals!E88,MAX(0,E147-Project_Register!$R$14))</f>
        <v>0</v>
      </c>
      <c r="F148" s="60" t="n">
        <f aca="false">IF(F$5="A",Inputs_Actuals!F88,MAX(0,F147-E149))</f>
        <v>0</v>
      </c>
      <c r="G148" s="60" t="n">
        <f aca="false">IF(G$5="A",Inputs_Actuals!G88,MAX(0,G147-F149))</f>
        <v>0</v>
      </c>
      <c r="H148" s="60" t="n">
        <f aca="false">IF(H$5="A",Inputs_Actuals!H88,MAX(0,H147-G149))</f>
        <v>0</v>
      </c>
      <c r="I148" s="60" t="n">
        <f aca="false">IF(I$5="A",Inputs_Actuals!I88,MAX(0,I147-H149))</f>
        <v>0</v>
      </c>
      <c r="J148" s="60" t="n">
        <f aca="false">IF(J$5="A",Inputs_Actuals!J88,MAX(0,J147-I149))</f>
        <v>0</v>
      </c>
      <c r="K148" s="60" t="n">
        <f aca="false">IF(K$5="A",Inputs_Actuals!K88,MAX(0,K147-J149))</f>
        <v>25500</v>
      </c>
      <c r="L148" s="60" t="n">
        <f aca="false">IF(L$5="A",Inputs_Actuals!L88,MAX(0,L147-K149))</f>
        <v>0</v>
      </c>
      <c r="M148" s="60" t="n">
        <f aca="false">IF(M$5="A",Inputs_Actuals!M88,MAX(0,M147-L149))</f>
        <v>34000</v>
      </c>
      <c r="N148" s="60" t="n">
        <f aca="false">IF(N$5="A",Inputs_Actuals!N88,MAX(0,N147-M149))</f>
        <v>0</v>
      </c>
      <c r="O148" s="60" t="n">
        <f aca="false">IF(O$5="A",Inputs_Actuals!O88,MAX(0,O147-N149))</f>
        <v>25500</v>
      </c>
      <c r="P148" s="60" t="n">
        <f aca="false">IF(P$5="A",Inputs_Actuals!P88,MAX(0,P147-O149))</f>
        <v>0</v>
      </c>
      <c r="Q148" s="60" t="n">
        <f aca="false">IF(Q$5="A",Inputs_Actuals!Q88,MAX(0,Q147-P149))</f>
        <v>0</v>
      </c>
      <c r="R148" s="60" t="n">
        <f aca="false">IF(R$5="A",Inputs_Actuals!R88,MAX(0,R147-Q149))</f>
        <v>0</v>
      </c>
      <c r="S148" s="60" t="n">
        <f aca="false">IF(S$5="A",Inputs_Actuals!S88,MAX(0,S147-R149))</f>
        <v>0</v>
      </c>
      <c r="T148" s="60" t="n">
        <f aca="false">IF(T$5="A",Inputs_Actuals!T88,MAX(0,T147-S149))</f>
        <v>0</v>
      </c>
      <c r="U148" s="60" t="n">
        <f aca="false">IF(U$5="A",Inputs_Actuals!U88,MAX(0,U147-T149))</f>
        <v>0</v>
      </c>
      <c r="V148" s="60" t="n">
        <f aca="false">IF(V$5="A",Inputs_Actuals!V88,MAX(0,V147-U149))</f>
        <v>0</v>
      </c>
      <c r="W148" s="60" t="n">
        <f aca="false">IF(W$5="A",Inputs_Actuals!W88,MAX(0,W147-V149))</f>
        <v>0</v>
      </c>
      <c r="X148" s="60" t="n">
        <f aca="false">IF(X$5="A",Inputs_Actuals!X88,MAX(0,X147-W149))</f>
        <v>0</v>
      </c>
      <c r="Y148" s="60" t="n">
        <f aca="false">IF(Y$5="A",Inputs_Actuals!Y88,MAX(0,Y147-X149))</f>
        <v>0</v>
      </c>
      <c r="Z148" s="60" t="n">
        <f aca="false">IF(Z$5="A",Inputs_Actuals!Z88,MAX(0,Z147-Y149))</f>
        <v>0</v>
      </c>
      <c r="AA148" s="60" t="n">
        <f aca="false">IF(AA$5="A",Inputs_Actuals!AA88,MAX(0,AA147-Z149))</f>
        <v>0</v>
      </c>
      <c r="AB148" s="60" t="n">
        <f aca="false">IF(AB$5="A",Inputs_Actuals!AB88,MAX(0,AB147-AA149))</f>
        <v>0</v>
      </c>
    </row>
    <row r="149" customFormat="false" ht="15" hidden="false" customHeight="false" outlineLevel="0" collapsed="false">
      <c r="A149" s="28" t="s">
        <v>927</v>
      </c>
      <c r="B149" s="58"/>
      <c r="C149" s="59" t="n">
        <f aca="false">P149</f>
        <v>85000</v>
      </c>
      <c r="D149" s="59" t="n">
        <f aca="false">AB149</f>
        <v>85000</v>
      </c>
      <c r="E149" s="60" t="n">
        <f aca="false">Project_Register!$R$14+E148</f>
        <v>0</v>
      </c>
      <c r="F149" s="71" t="n">
        <f aca="false">E149+F148</f>
        <v>0</v>
      </c>
      <c r="G149" s="71" t="n">
        <f aca="false">F149+G148</f>
        <v>0</v>
      </c>
      <c r="H149" s="71" t="n">
        <f aca="false">G149+H148</f>
        <v>0</v>
      </c>
      <c r="I149" s="71" t="n">
        <f aca="false">H149+I148</f>
        <v>0</v>
      </c>
      <c r="J149" s="71" t="n">
        <f aca="false">I149+J148</f>
        <v>0</v>
      </c>
      <c r="K149" s="71" t="n">
        <f aca="false">J149+K148</f>
        <v>25500</v>
      </c>
      <c r="L149" s="71" t="n">
        <f aca="false">K149+L148</f>
        <v>25500</v>
      </c>
      <c r="M149" s="71" t="n">
        <f aca="false">L149+M148</f>
        <v>59500</v>
      </c>
      <c r="N149" s="71" t="n">
        <f aca="false">M149+N148</f>
        <v>59500</v>
      </c>
      <c r="O149" s="71" t="n">
        <f aca="false">N149+O148</f>
        <v>85000</v>
      </c>
      <c r="P149" s="71" t="n">
        <f aca="false">O149+P148</f>
        <v>85000</v>
      </c>
      <c r="Q149" s="71" t="n">
        <f aca="false">P149+Q148</f>
        <v>85000</v>
      </c>
      <c r="R149" s="71" t="n">
        <f aca="false">Q149+R148</f>
        <v>85000</v>
      </c>
      <c r="S149" s="71" t="n">
        <f aca="false">R149+S148</f>
        <v>85000</v>
      </c>
      <c r="T149" s="71" t="n">
        <f aca="false">S149+T148</f>
        <v>85000</v>
      </c>
      <c r="U149" s="71" t="n">
        <f aca="false">T149+U148</f>
        <v>85000</v>
      </c>
      <c r="V149" s="71" t="n">
        <f aca="false">U149+V148</f>
        <v>85000</v>
      </c>
      <c r="W149" s="71" t="n">
        <f aca="false">V149+W148</f>
        <v>85000</v>
      </c>
      <c r="X149" s="71" t="n">
        <f aca="false">W149+X148</f>
        <v>85000</v>
      </c>
      <c r="Y149" s="71" t="n">
        <f aca="false">X149+Y148</f>
        <v>85000</v>
      </c>
      <c r="Z149" s="71" t="n">
        <f aca="false">Y149+Z148</f>
        <v>85000</v>
      </c>
      <c r="AA149" s="71" t="n">
        <f aca="false">Z149+AA148</f>
        <v>85000</v>
      </c>
      <c r="AB149" s="71" t="n">
        <f aca="false">AA149+AB148</f>
        <v>85000</v>
      </c>
    </row>
    <row r="150" customFormat="false" ht="15" hidden="false" customHeight="false" outlineLevel="0" collapsed="false">
      <c r="A150" s="28" t="s">
        <v>928</v>
      </c>
      <c r="B150" s="58" t="s">
        <v>929</v>
      </c>
      <c r="C150" s="59" t="n">
        <f aca="false">P150</f>
        <v>0</v>
      </c>
      <c r="D150" s="59" t="n">
        <f aca="false">AB150</f>
        <v>0</v>
      </c>
      <c r="E150" s="71" t="n">
        <f aca="false">E145-E149</f>
        <v>0</v>
      </c>
      <c r="F150" s="71" t="n">
        <f aca="false">F145-F149</f>
        <v>0</v>
      </c>
      <c r="G150" s="71" t="n">
        <f aca="false">G145-G149</f>
        <v>0</v>
      </c>
      <c r="H150" s="71" t="n">
        <f aca="false">H145-H149</f>
        <v>0</v>
      </c>
      <c r="I150" s="71" t="n">
        <f aca="false">I145-I149</f>
        <v>0</v>
      </c>
      <c r="J150" s="71" t="n">
        <f aca="false">J145-J149</f>
        <v>0</v>
      </c>
      <c r="K150" s="71" t="n">
        <f aca="false">K145-K149</f>
        <v>-17265.62</v>
      </c>
      <c r="L150" s="71" t="n">
        <f aca="false">L145-L149</f>
        <v>4451.88</v>
      </c>
      <c r="M150" s="71" t="n">
        <f aca="false">M145-M149</f>
        <v>-4402.68518518518</v>
      </c>
      <c r="N150" s="71" t="n">
        <f aca="false">N145-N149</f>
        <v>16665.1157407408</v>
      </c>
      <c r="O150" s="71" t="n">
        <f aca="false">O145-O149</f>
        <v>0</v>
      </c>
      <c r="P150" s="71" t="n">
        <f aca="false">P145-P149</f>
        <v>0</v>
      </c>
      <c r="Q150" s="71" t="n">
        <f aca="false">Q145-Q149</f>
        <v>0</v>
      </c>
      <c r="R150" s="71" t="n">
        <f aca="false">R145-R149</f>
        <v>0</v>
      </c>
      <c r="S150" s="71" t="n">
        <f aca="false">S145-S149</f>
        <v>0</v>
      </c>
      <c r="T150" s="71" t="n">
        <f aca="false">T145-T149</f>
        <v>0</v>
      </c>
      <c r="U150" s="71" t="n">
        <f aca="false">U145-U149</f>
        <v>0</v>
      </c>
      <c r="V150" s="71" t="n">
        <f aca="false">V145-V149</f>
        <v>0</v>
      </c>
      <c r="W150" s="71" t="n">
        <f aca="false">W145-W149</f>
        <v>0</v>
      </c>
      <c r="X150" s="71" t="n">
        <f aca="false">X145-X149</f>
        <v>0</v>
      </c>
      <c r="Y150" s="71" t="n">
        <f aca="false">Y145-Y149</f>
        <v>0</v>
      </c>
      <c r="Z150" s="71" t="n">
        <f aca="false">Z145-Z149</f>
        <v>0</v>
      </c>
      <c r="AA150" s="71" t="n">
        <f aca="false">AA145-AA149</f>
        <v>0</v>
      </c>
      <c r="AB150" s="71" t="n">
        <f aca="false">AB145-AB149</f>
        <v>0</v>
      </c>
    </row>
    <row r="151" customFormat="false" ht="15" hidden="false" customHeight="false" outlineLevel="0" collapsed="false">
      <c r="A151" s="28" t="s">
        <v>930</v>
      </c>
      <c r="B151" s="58"/>
      <c r="C151" s="59" t="n">
        <f aca="false">P151</f>
        <v>0</v>
      </c>
      <c r="D151" s="59" t="n">
        <f aca="false">AB151</f>
        <v>0</v>
      </c>
      <c r="E151" s="71" t="n">
        <f aca="false">MAX(0,E144-E145)</f>
        <v>0</v>
      </c>
      <c r="F151" s="71" t="n">
        <f aca="false">MAX(0,F144-F145)</f>
        <v>0</v>
      </c>
      <c r="G151" s="71" t="n">
        <f aca="false">MAX(0,G144-G145)</f>
        <v>0</v>
      </c>
      <c r="H151" s="71" t="n">
        <f aca="false">MAX(0,H144-H145)</f>
        <v>0</v>
      </c>
      <c r="I151" s="71" t="n">
        <f aca="false">MAX(0,I144-I145)</f>
        <v>0</v>
      </c>
      <c r="J151" s="71" t="n">
        <f aca="false">MAX(0,J144-J145)</f>
        <v>0</v>
      </c>
      <c r="K151" s="71" t="n">
        <f aca="false">MAX(0,K144-K145)</f>
        <v>76765.62</v>
      </c>
      <c r="L151" s="71" t="n">
        <f aca="false">MAX(0,L144-L145)</f>
        <v>55048.12</v>
      </c>
      <c r="M151" s="71" t="n">
        <f aca="false">MAX(0,M144-M145)</f>
        <v>29902.6851851852</v>
      </c>
      <c r="N151" s="71" t="n">
        <f aca="false">MAX(0,N144-N145)</f>
        <v>8834.88425925926</v>
      </c>
      <c r="O151" s="71" t="n">
        <f aca="false">MAX(0,O144-O145)</f>
        <v>0</v>
      </c>
      <c r="P151" s="71" t="n">
        <f aca="false">MAX(0,P144-P145)</f>
        <v>0</v>
      </c>
      <c r="Q151" s="71" t="n">
        <f aca="false">MAX(0,Q144-Q145)</f>
        <v>0</v>
      </c>
      <c r="R151" s="71" t="n">
        <f aca="false">MAX(0,R144-R145)</f>
        <v>0</v>
      </c>
      <c r="S151" s="71" t="n">
        <f aca="false">MAX(0,S144-S145)</f>
        <v>0</v>
      </c>
      <c r="T151" s="71" t="n">
        <f aca="false">MAX(0,T144-T145)</f>
        <v>0</v>
      </c>
      <c r="U151" s="71" t="n">
        <f aca="false">MAX(0,U144-U145)</f>
        <v>0</v>
      </c>
      <c r="V151" s="71" t="n">
        <f aca="false">MAX(0,V144-V145)</f>
        <v>0</v>
      </c>
      <c r="W151" s="71" t="n">
        <f aca="false">MAX(0,W144-W145)</f>
        <v>0</v>
      </c>
      <c r="X151" s="71" t="n">
        <f aca="false">MAX(0,X144-X145)</f>
        <v>0</v>
      </c>
      <c r="Y151" s="71" t="n">
        <f aca="false">MAX(0,Y144-Y145)</f>
        <v>0</v>
      </c>
      <c r="Z151" s="71" t="n">
        <f aca="false">MAX(0,Z144-Z145)</f>
        <v>0</v>
      </c>
      <c r="AA151" s="71" t="n">
        <f aca="false">MAX(0,AA144-AA145)</f>
        <v>0</v>
      </c>
      <c r="AB151" s="71" t="n">
        <f aca="false">MAX(0,AB144-AB145)</f>
        <v>0</v>
      </c>
    </row>
    <row r="152" customFormat="false" ht="15" hidden="false" customHeight="false" outlineLevel="0" collapsed="false">
      <c r="A152" s="28" t="s">
        <v>931</v>
      </c>
      <c r="B152" s="58" t="s">
        <v>932</v>
      </c>
      <c r="E152" s="71" t="n">
        <f aca="false">IF(E$5="A",ROUND(E145-E143*E144,0),0)</f>
        <v>0</v>
      </c>
      <c r="F152" s="71" t="n">
        <f aca="false">IF(F$5="A",ROUND(F145-F143*F144,0),0)</f>
        <v>0</v>
      </c>
      <c r="G152" s="71" t="n">
        <f aca="false">IF(G$5="A",ROUND(G145-G143*G144,0),0)</f>
        <v>0</v>
      </c>
      <c r="H152" s="71" t="n">
        <f aca="false">IF(H$5="A",ROUND(H145-H143*H144,0),0)</f>
        <v>0</v>
      </c>
      <c r="I152" s="71" t="n">
        <f aca="false">IF(I$5="A",ROUND(I145-I143*I144,0),0)</f>
        <v>0</v>
      </c>
      <c r="J152" s="71" t="n">
        <f aca="false">IF(J$5="A",ROUND(J145-J143*J144,0),0)</f>
        <v>0</v>
      </c>
      <c r="K152" s="71" t="n">
        <f aca="false">IF(K$5="A",ROUND(K145-K143*K144,0),0)</f>
        <v>0</v>
      </c>
      <c r="L152" s="71" t="n">
        <f aca="false">IF(L$5="A",ROUND(L145-L143*L144,0),0)</f>
        <v>0</v>
      </c>
      <c r="M152" s="71" t="n">
        <f aca="false">IF(M$5="A",ROUND(M145-M143*M144,0),0)</f>
        <v>0</v>
      </c>
      <c r="N152" s="71" t="n">
        <f aca="false">IF(N$5="A",ROUND(N145-N143*N144,0),0)</f>
        <v>0</v>
      </c>
      <c r="O152" s="71" t="n">
        <f aca="false">IF(O$5="A",ROUND(O145-O143*O144,0),0)</f>
        <v>0</v>
      </c>
      <c r="P152" s="71" t="n">
        <f aca="false">IF(P$5="A",ROUND(P145-P143*P144,0),0)</f>
        <v>0</v>
      </c>
      <c r="Q152" s="71" t="n">
        <f aca="false">IF(Q$5="A",ROUND(Q145-Q143*Q144,0),0)</f>
        <v>0</v>
      </c>
      <c r="R152" s="71" t="n">
        <f aca="false">IF(R$5="A",ROUND(R145-R143*R144,0),0)</f>
        <v>0</v>
      </c>
      <c r="S152" s="71" t="n">
        <f aca="false">IF(S$5="A",ROUND(S145-S143*S144,0),0)</f>
        <v>0</v>
      </c>
      <c r="T152" s="71" t="n">
        <f aca="false">IF(T$5="A",ROUND(T145-T143*T144,0),0)</f>
        <v>0</v>
      </c>
      <c r="U152" s="71" t="n">
        <f aca="false">IF(U$5="A",ROUND(U145-U143*U144,0),0)</f>
        <v>0</v>
      </c>
      <c r="V152" s="71" t="n">
        <f aca="false">IF(V$5="A",ROUND(V145-V143*V144,0),0)</f>
        <v>0</v>
      </c>
      <c r="W152" s="71" t="n">
        <f aca="false">IF(W$5="A",ROUND(W145-W143*W144,0),0)</f>
        <v>0</v>
      </c>
      <c r="X152" s="71" t="n">
        <f aca="false">IF(X$5="A",ROUND(X145-X143*X144,0),0)</f>
        <v>0</v>
      </c>
      <c r="Y152" s="71" t="n">
        <f aca="false">IF(Y$5="A",ROUND(Y145-Y143*Y144,0),0)</f>
        <v>0</v>
      </c>
      <c r="Z152" s="71" t="n">
        <f aca="false">IF(Z$5="A",ROUND(Z145-Z143*Z144,0),0)</f>
        <v>0</v>
      </c>
      <c r="AA152" s="71" t="n">
        <f aca="false">IF(AA$5="A",ROUND(AA145-AA143*AA144,0),0)</f>
        <v>0</v>
      </c>
      <c r="AB152" s="71" t="n">
        <f aca="false">IF(AB$5="A",ROUND(AB145-AB143*AB144,0),0)</f>
        <v>0</v>
      </c>
    </row>
    <row r="154" customFormat="false" ht="15" hidden="false" customHeight="false" outlineLevel="0" collapsed="false">
      <c r="A154" s="22" t="s">
        <v>946</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row>
    <row r="155" customFormat="false" ht="15" hidden="false" customHeight="false" outlineLevel="0" collapsed="false">
      <c r="A155" s="28" t="s">
        <v>905</v>
      </c>
      <c r="B155" s="58" t="s">
        <v>906</v>
      </c>
      <c r="E155" s="112" t="n">
        <f aca="false">MIN(1,MAX(0,(Assumptions!E$99-Project_Register!$T$15+1)/(Project_Register!$U$15-Project_Register!$T$15+1)))</f>
        <v>0</v>
      </c>
      <c r="F155" s="112" t="n">
        <f aca="false">MIN(1,MAX(0,(Assumptions!F$99-Project_Register!$T$15+1)/(Project_Register!$U$15-Project_Register!$T$15+1)))</f>
        <v>0</v>
      </c>
      <c r="G155" s="112" t="n">
        <f aca="false">MIN(1,MAX(0,(Assumptions!G$99-Project_Register!$T$15+1)/(Project_Register!$U$15-Project_Register!$T$15+1)))</f>
        <v>0</v>
      </c>
      <c r="H155" s="112" t="n">
        <f aca="false">MIN(1,MAX(0,(Assumptions!H$99-Project_Register!$T$15+1)/(Project_Register!$U$15-Project_Register!$T$15+1)))</f>
        <v>0</v>
      </c>
      <c r="I155" s="112" t="n">
        <f aca="false">MIN(1,MAX(0,(Assumptions!I$99-Project_Register!$T$15+1)/(Project_Register!$U$15-Project_Register!$T$15+1)))</f>
        <v>0</v>
      </c>
      <c r="J155" s="112" t="n">
        <f aca="false">MIN(1,MAX(0,(Assumptions!J$99-Project_Register!$T$15+1)/(Project_Register!$U$15-Project_Register!$T$15+1)))</f>
        <v>0</v>
      </c>
      <c r="K155" s="112" t="n">
        <f aca="false">MIN(1,MAX(0,(Assumptions!K$99-Project_Register!$T$15+1)/(Project_Register!$U$15-Project_Register!$T$15+1)))</f>
        <v>0</v>
      </c>
      <c r="L155" s="112" t="n">
        <f aca="false">MIN(1,MAX(0,(Assumptions!L$99-Project_Register!$T$15+1)/(Project_Register!$U$15-Project_Register!$T$15+1)))</f>
        <v>0</v>
      </c>
      <c r="M155" s="112" t="n">
        <f aca="false">MIN(1,MAX(0,(Assumptions!M$99-Project_Register!$T$15+1)/(Project_Register!$U$15-Project_Register!$T$15+1)))</f>
        <v>0.25</v>
      </c>
      <c r="N155" s="112" t="n">
        <f aca="false">MIN(1,MAX(0,(Assumptions!N$99-Project_Register!$T$15+1)/(Project_Register!$U$15-Project_Register!$T$15+1)))</f>
        <v>0.5</v>
      </c>
      <c r="O155" s="112" t="n">
        <f aca="false">MIN(1,MAX(0,(Assumptions!O$99-Project_Register!$T$15+1)/(Project_Register!$U$15-Project_Register!$T$15+1)))</f>
        <v>0.75</v>
      </c>
      <c r="P155" s="112" t="n">
        <f aca="false">MIN(1,MAX(0,(Assumptions!P$99-Project_Register!$T$15+1)/(Project_Register!$U$15-Project_Register!$T$15+1)))</f>
        <v>1</v>
      </c>
      <c r="Q155" s="112" t="n">
        <f aca="false">MIN(1,MAX(0,(Assumptions!Q$99-Project_Register!$T$15+1)/(Project_Register!$U$15-Project_Register!$T$15+1)))</f>
        <v>1</v>
      </c>
      <c r="R155" s="112" t="n">
        <f aca="false">MIN(1,MAX(0,(Assumptions!R$99-Project_Register!$T$15+1)/(Project_Register!$U$15-Project_Register!$T$15+1)))</f>
        <v>1</v>
      </c>
      <c r="S155" s="112" t="n">
        <f aca="false">MIN(1,MAX(0,(Assumptions!S$99-Project_Register!$T$15+1)/(Project_Register!$U$15-Project_Register!$T$15+1)))</f>
        <v>1</v>
      </c>
      <c r="T155" s="112" t="n">
        <f aca="false">MIN(1,MAX(0,(Assumptions!T$99-Project_Register!$T$15+1)/(Project_Register!$U$15-Project_Register!$T$15+1)))</f>
        <v>1</v>
      </c>
      <c r="U155" s="112" t="n">
        <f aca="false">MIN(1,MAX(0,(Assumptions!U$99-Project_Register!$T$15+1)/(Project_Register!$U$15-Project_Register!$T$15+1)))</f>
        <v>1</v>
      </c>
      <c r="V155" s="112" t="n">
        <f aca="false">MIN(1,MAX(0,(Assumptions!V$99-Project_Register!$T$15+1)/(Project_Register!$U$15-Project_Register!$T$15+1)))</f>
        <v>1</v>
      </c>
      <c r="W155" s="112" t="n">
        <f aca="false">MIN(1,MAX(0,(Assumptions!W$99-Project_Register!$T$15+1)/(Project_Register!$U$15-Project_Register!$T$15+1)))</f>
        <v>1</v>
      </c>
      <c r="X155" s="112" t="n">
        <f aca="false">MIN(1,MAX(0,(Assumptions!X$99-Project_Register!$T$15+1)/(Project_Register!$U$15-Project_Register!$T$15+1)))</f>
        <v>1</v>
      </c>
      <c r="Y155" s="112" t="n">
        <f aca="false">MIN(1,MAX(0,(Assumptions!Y$99-Project_Register!$T$15+1)/(Project_Register!$U$15-Project_Register!$T$15+1)))</f>
        <v>1</v>
      </c>
      <c r="Z155" s="112" t="n">
        <f aca="false">MIN(1,MAX(0,(Assumptions!Z$99-Project_Register!$T$15+1)/(Project_Register!$U$15-Project_Register!$T$15+1)))</f>
        <v>1</v>
      </c>
      <c r="AA155" s="112" t="n">
        <f aca="false">MIN(1,MAX(0,(Assumptions!AA$99-Project_Register!$T$15+1)/(Project_Register!$U$15-Project_Register!$T$15+1)))</f>
        <v>1</v>
      </c>
      <c r="AB155" s="112" t="n">
        <f aca="false">MIN(1,MAX(0,(Assumptions!AB$99-Project_Register!$T$15+1)/(Project_Register!$U$15-Project_Register!$T$15+1)))</f>
        <v>1</v>
      </c>
    </row>
    <row r="156" customFormat="false" ht="15" hidden="false" customHeight="false" outlineLevel="0" collapsed="false">
      <c r="A156" s="28" t="s">
        <v>907</v>
      </c>
      <c r="B156" s="58" t="s">
        <v>908</v>
      </c>
      <c r="E156" s="113" t="n">
        <f aca="false">3*E155^2-2*E155^3</f>
        <v>0</v>
      </c>
      <c r="F156" s="113" t="n">
        <f aca="false">3*F155^2-2*F155^3</f>
        <v>0</v>
      </c>
      <c r="G156" s="113" t="n">
        <f aca="false">3*G155^2-2*G155^3</f>
        <v>0</v>
      </c>
      <c r="H156" s="113" t="n">
        <f aca="false">3*H155^2-2*H155^3</f>
        <v>0</v>
      </c>
      <c r="I156" s="113" t="n">
        <f aca="false">3*I155^2-2*I155^3</f>
        <v>0</v>
      </c>
      <c r="J156" s="113" t="n">
        <f aca="false">3*J155^2-2*J155^3</f>
        <v>0</v>
      </c>
      <c r="K156" s="113" t="n">
        <f aca="false">3*K155^2-2*K155^3</f>
        <v>0</v>
      </c>
      <c r="L156" s="113" t="n">
        <f aca="false">3*L155^2-2*L155^3</f>
        <v>0</v>
      </c>
      <c r="M156" s="113" t="n">
        <f aca="false">3*M155^2-2*M155^3</f>
        <v>0.15625</v>
      </c>
      <c r="N156" s="113" t="n">
        <f aca="false">3*N155^2-2*N155^3</f>
        <v>0.5</v>
      </c>
      <c r="O156" s="113" t="n">
        <f aca="false">3*O155^2-2*O155^3</f>
        <v>0.84375</v>
      </c>
      <c r="P156" s="113" t="n">
        <f aca="false">3*P155^2-2*P155^3</f>
        <v>1</v>
      </c>
      <c r="Q156" s="113" t="n">
        <f aca="false">3*Q155^2-2*Q155^3</f>
        <v>1</v>
      </c>
      <c r="R156" s="113" t="n">
        <f aca="false">3*R155^2-2*R155^3</f>
        <v>1</v>
      </c>
      <c r="S156" s="113" t="n">
        <f aca="false">3*S155^2-2*S155^3</f>
        <v>1</v>
      </c>
      <c r="T156" s="113" t="n">
        <f aca="false">3*T155^2-2*T155^3</f>
        <v>1</v>
      </c>
      <c r="U156" s="113" t="n">
        <f aca="false">3*U155^2-2*U155^3</f>
        <v>1</v>
      </c>
      <c r="V156" s="113" t="n">
        <f aca="false">3*V155^2-2*V155^3</f>
        <v>1</v>
      </c>
      <c r="W156" s="113" t="n">
        <f aca="false">3*W155^2-2*W155^3</f>
        <v>1</v>
      </c>
      <c r="X156" s="113" t="n">
        <f aca="false">3*X155^2-2*X155^3</f>
        <v>1</v>
      </c>
      <c r="Y156" s="113" t="n">
        <f aca="false">3*Y155^2-2*Y155^3</f>
        <v>1</v>
      </c>
      <c r="Z156" s="113" t="n">
        <f aca="false">3*Z155^2-2*Z155^3</f>
        <v>1</v>
      </c>
      <c r="AA156" s="113" t="n">
        <f aca="false">3*AA155^2-2*AA155^3</f>
        <v>1</v>
      </c>
      <c r="AB156" s="113" t="n">
        <f aca="false">3*AB155^2-2*AB155^3</f>
        <v>1</v>
      </c>
    </row>
    <row r="157" customFormat="false" ht="15" hidden="false" customHeight="false" outlineLevel="0" collapsed="false">
      <c r="A157" s="28" t="s">
        <v>909</v>
      </c>
      <c r="B157" s="58"/>
      <c r="E157" s="112" t="n">
        <f aca="false">3*MIN(1,MAX(0,(Assumptions!E$99-Project_Register!$T$15)/(Project_Register!$U$15-Project_Register!$T$15+1)))^2-2*MIN(1,MAX(0,(Assumptions!E$99-Project_Register!$T$15)/(Project_Register!$U$15-Project_Register!$T$15+1)))^3</f>
        <v>0</v>
      </c>
      <c r="F157" s="112" t="n">
        <f aca="false">3*MIN(1,MAX(0,(Assumptions!F$99-Project_Register!$T$15)/(Project_Register!$U$15-Project_Register!$T$15+1)))^2-2*MIN(1,MAX(0,(Assumptions!F$99-Project_Register!$T$15)/(Project_Register!$U$15-Project_Register!$T$15+1)))^3</f>
        <v>0</v>
      </c>
      <c r="G157" s="112" t="n">
        <f aca="false">3*MIN(1,MAX(0,(Assumptions!G$99-Project_Register!$T$15)/(Project_Register!$U$15-Project_Register!$T$15+1)))^2-2*MIN(1,MAX(0,(Assumptions!G$99-Project_Register!$T$15)/(Project_Register!$U$15-Project_Register!$T$15+1)))^3</f>
        <v>0</v>
      </c>
      <c r="H157" s="112" t="n">
        <f aca="false">3*MIN(1,MAX(0,(Assumptions!H$99-Project_Register!$T$15)/(Project_Register!$U$15-Project_Register!$T$15+1)))^2-2*MIN(1,MAX(0,(Assumptions!H$99-Project_Register!$T$15)/(Project_Register!$U$15-Project_Register!$T$15+1)))^3</f>
        <v>0</v>
      </c>
      <c r="I157" s="112" t="n">
        <f aca="false">3*MIN(1,MAX(0,(Assumptions!I$99-Project_Register!$T$15)/(Project_Register!$U$15-Project_Register!$T$15+1)))^2-2*MIN(1,MAX(0,(Assumptions!I$99-Project_Register!$T$15)/(Project_Register!$U$15-Project_Register!$T$15+1)))^3</f>
        <v>0</v>
      </c>
      <c r="J157" s="112" t="n">
        <f aca="false">3*MIN(1,MAX(0,(Assumptions!J$99-Project_Register!$T$15)/(Project_Register!$U$15-Project_Register!$T$15+1)))^2-2*MIN(1,MAX(0,(Assumptions!J$99-Project_Register!$T$15)/(Project_Register!$U$15-Project_Register!$T$15+1)))^3</f>
        <v>0</v>
      </c>
      <c r="K157" s="112" t="n">
        <f aca="false">3*MIN(1,MAX(0,(Assumptions!K$99-Project_Register!$T$15)/(Project_Register!$U$15-Project_Register!$T$15+1)))^2-2*MIN(1,MAX(0,(Assumptions!K$99-Project_Register!$T$15)/(Project_Register!$U$15-Project_Register!$T$15+1)))^3</f>
        <v>0</v>
      </c>
      <c r="L157" s="112" t="n">
        <f aca="false">3*MIN(1,MAX(0,(Assumptions!L$99-Project_Register!$T$15)/(Project_Register!$U$15-Project_Register!$T$15+1)))^2-2*MIN(1,MAX(0,(Assumptions!L$99-Project_Register!$T$15)/(Project_Register!$U$15-Project_Register!$T$15+1)))^3</f>
        <v>0</v>
      </c>
      <c r="M157" s="112" t="n">
        <f aca="false">3*MIN(1,MAX(0,(Assumptions!M$99-Project_Register!$T$15)/(Project_Register!$U$15-Project_Register!$T$15+1)))^2-2*MIN(1,MAX(0,(Assumptions!M$99-Project_Register!$T$15)/(Project_Register!$U$15-Project_Register!$T$15+1)))^3</f>
        <v>0</v>
      </c>
      <c r="N157" s="112" t="n">
        <f aca="false">3*MIN(1,MAX(0,(Assumptions!N$99-Project_Register!$T$15)/(Project_Register!$U$15-Project_Register!$T$15+1)))^2-2*MIN(1,MAX(0,(Assumptions!N$99-Project_Register!$T$15)/(Project_Register!$U$15-Project_Register!$T$15+1)))^3</f>
        <v>0.15625</v>
      </c>
      <c r="O157" s="112" t="n">
        <f aca="false">3*MIN(1,MAX(0,(Assumptions!O$99-Project_Register!$T$15)/(Project_Register!$U$15-Project_Register!$T$15+1)))^2-2*MIN(1,MAX(0,(Assumptions!O$99-Project_Register!$T$15)/(Project_Register!$U$15-Project_Register!$T$15+1)))^3</f>
        <v>0.5</v>
      </c>
      <c r="P157" s="112" t="n">
        <f aca="false">3*MIN(1,MAX(0,(Assumptions!P$99-Project_Register!$T$15)/(Project_Register!$U$15-Project_Register!$T$15+1)))^2-2*MIN(1,MAX(0,(Assumptions!P$99-Project_Register!$T$15)/(Project_Register!$U$15-Project_Register!$T$15+1)))^3</f>
        <v>0.84375</v>
      </c>
      <c r="Q157" s="112" t="n">
        <f aca="false">3*MIN(1,MAX(0,(Assumptions!Q$99-Project_Register!$T$15)/(Project_Register!$U$15-Project_Register!$T$15+1)))^2-2*MIN(1,MAX(0,(Assumptions!Q$99-Project_Register!$T$15)/(Project_Register!$U$15-Project_Register!$T$15+1)))^3</f>
        <v>1</v>
      </c>
      <c r="R157" s="112" t="n">
        <f aca="false">3*MIN(1,MAX(0,(Assumptions!R$99-Project_Register!$T$15)/(Project_Register!$U$15-Project_Register!$T$15+1)))^2-2*MIN(1,MAX(0,(Assumptions!R$99-Project_Register!$T$15)/(Project_Register!$U$15-Project_Register!$T$15+1)))^3</f>
        <v>1</v>
      </c>
      <c r="S157" s="112" t="n">
        <f aca="false">3*MIN(1,MAX(0,(Assumptions!S$99-Project_Register!$T$15)/(Project_Register!$U$15-Project_Register!$T$15+1)))^2-2*MIN(1,MAX(0,(Assumptions!S$99-Project_Register!$T$15)/(Project_Register!$U$15-Project_Register!$T$15+1)))^3</f>
        <v>1</v>
      </c>
      <c r="T157" s="112" t="n">
        <f aca="false">3*MIN(1,MAX(0,(Assumptions!T$99-Project_Register!$T$15)/(Project_Register!$U$15-Project_Register!$T$15+1)))^2-2*MIN(1,MAX(0,(Assumptions!T$99-Project_Register!$T$15)/(Project_Register!$U$15-Project_Register!$T$15+1)))^3</f>
        <v>1</v>
      </c>
      <c r="U157" s="112" t="n">
        <f aca="false">3*MIN(1,MAX(0,(Assumptions!U$99-Project_Register!$T$15)/(Project_Register!$U$15-Project_Register!$T$15+1)))^2-2*MIN(1,MAX(0,(Assumptions!U$99-Project_Register!$T$15)/(Project_Register!$U$15-Project_Register!$T$15+1)))^3</f>
        <v>1</v>
      </c>
      <c r="V157" s="112" t="n">
        <f aca="false">3*MIN(1,MAX(0,(Assumptions!V$99-Project_Register!$T$15)/(Project_Register!$U$15-Project_Register!$T$15+1)))^2-2*MIN(1,MAX(0,(Assumptions!V$99-Project_Register!$T$15)/(Project_Register!$U$15-Project_Register!$T$15+1)))^3</f>
        <v>1</v>
      </c>
      <c r="W157" s="112" t="n">
        <f aca="false">3*MIN(1,MAX(0,(Assumptions!W$99-Project_Register!$T$15)/(Project_Register!$U$15-Project_Register!$T$15+1)))^2-2*MIN(1,MAX(0,(Assumptions!W$99-Project_Register!$T$15)/(Project_Register!$U$15-Project_Register!$T$15+1)))^3</f>
        <v>1</v>
      </c>
      <c r="X157" s="112" t="n">
        <f aca="false">3*MIN(1,MAX(0,(Assumptions!X$99-Project_Register!$T$15)/(Project_Register!$U$15-Project_Register!$T$15+1)))^2-2*MIN(1,MAX(0,(Assumptions!X$99-Project_Register!$T$15)/(Project_Register!$U$15-Project_Register!$T$15+1)))^3</f>
        <v>1</v>
      </c>
      <c r="Y157" s="112" t="n">
        <f aca="false">3*MIN(1,MAX(0,(Assumptions!Y$99-Project_Register!$T$15)/(Project_Register!$U$15-Project_Register!$T$15+1)))^2-2*MIN(1,MAX(0,(Assumptions!Y$99-Project_Register!$T$15)/(Project_Register!$U$15-Project_Register!$T$15+1)))^3</f>
        <v>1</v>
      </c>
      <c r="Z157" s="112" t="n">
        <f aca="false">3*MIN(1,MAX(0,(Assumptions!Z$99-Project_Register!$T$15)/(Project_Register!$U$15-Project_Register!$T$15+1)))^2-2*MIN(1,MAX(0,(Assumptions!Z$99-Project_Register!$T$15)/(Project_Register!$U$15-Project_Register!$T$15+1)))^3</f>
        <v>1</v>
      </c>
      <c r="AA157" s="112" t="n">
        <f aca="false">3*MIN(1,MAX(0,(Assumptions!AA$99-Project_Register!$T$15)/(Project_Register!$U$15-Project_Register!$T$15+1)))^2-2*MIN(1,MAX(0,(Assumptions!AA$99-Project_Register!$T$15)/(Project_Register!$U$15-Project_Register!$T$15+1)))^3</f>
        <v>1</v>
      </c>
      <c r="AB157" s="112" t="n">
        <f aca="false">3*MIN(1,MAX(0,(Assumptions!AB$99-Project_Register!$T$15)/(Project_Register!$U$15-Project_Register!$T$15+1)))^2-2*MIN(1,MAX(0,(Assumptions!AB$99-Project_Register!$T$15)/(Project_Register!$U$15-Project_Register!$T$15+1)))^3</f>
        <v>1</v>
      </c>
    </row>
    <row r="158" customFormat="false" ht="15" hidden="false" customHeight="false" outlineLevel="0" collapsed="false">
      <c r="A158" s="28" t="s">
        <v>802</v>
      </c>
      <c r="B158" s="58" t="s">
        <v>910</v>
      </c>
      <c r="C158" s="66" t="n">
        <f aca="false">SUM(E158:P158)</f>
        <v>950</v>
      </c>
      <c r="D158" s="66" t="n">
        <f aca="false">SUM(Q158:AB158)</f>
        <v>0</v>
      </c>
      <c r="E158" s="67" t="n">
        <f aca="false">IF(E$5="A",0,IF((Project_Register!$AA$15-Project_Register!$X$15)&lt;=0,0,IF(1-Project_Register!$AC$15&lt;=0.000001,IF(Assumptions!E$99=Assumptions!$C$10+1,(Project_Register!$AA$15-Project_Register!$X$15),0),(Project_Register!$AA$15-Project_Register!$X$15)*(E156-E157)/(1-Project_Register!$AC$15))))</f>
        <v>0</v>
      </c>
      <c r="F158" s="67" t="n">
        <f aca="false">IF(F$5="A",0,IF((Project_Register!$AA$15-Project_Register!$X$15)&lt;=0,0,IF(1-Project_Register!$AC$15&lt;=0.000001,IF(Assumptions!F$99=Assumptions!$C$10+1,(Project_Register!$AA$15-Project_Register!$X$15),0),(Project_Register!$AA$15-Project_Register!$X$15)*(F156-F157)/(1-Project_Register!$AC$15))))</f>
        <v>0</v>
      </c>
      <c r="G158" s="67" t="n">
        <f aca="false">IF(G$5="A",0,IF((Project_Register!$AA$15-Project_Register!$X$15)&lt;=0,0,IF(1-Project_Register!$AC$15&lt;=0.000001,IF(Assumptions!G$99=Assumptions!$C$10+1,(Project_Register!$AA$15-Project_Register!$X$15),0),(Project_Register!$AA$15-Project_Register!$X$15)*(G156-G157)/(1-Project_Register!$AC$15))))</f>
        <v>0</v>
      </c>
      <c r="H158" s="67" t="n">
        <f aca="false">IF(H$5="A",0,IF((Project_Register!$AA$15-Project_Register!$X$15)&lt;=0,0,IF(1-Project_Register!$AC$15&lt;=0.000001,IF(Assumptions!H$99=Assumptions!$C$10+1,(Project_Register!$AA$15-Project_Register!$X$15),0),(Project_Register!$AA$15-Project_Register!$X$15)*(H156-H157)/(1-Project_Register!$AC$15))))</f>
        <v>0</v>
      </c>
      <c r="I158" s="67" t="n">
        <f aca="false">IF(I$5="A",0,IF((Project_Register!$AA$15-Project_Register!$X$15)&lt;=0,0,IF(1-Project_Register!$AC$15&lt;=0.000001,IF(Assumptions!I$99=Assumptions!$C$10+1,(Project_Register!$AA$15-Project_Register!$X$15),0),(Project_Register!$AA$15-Project_Register!$X$15)*(I156-I157)/(1-Project_Register!$AC$15))))</f>
        <v>0</v>
      </c>
      <c r="J158" s="67" t="n">
        <f aca="false">IF(J$5="A",0,IF((Project_Register!$AA$15-Project_Register!$X$15)&lt;=0,0,IF(1-Project_Register!$AC$15&lt;=0.000001,IF(Assumptions!J$99=Assumptions!$C$10+1,(Project_Register!$AA$15-Project_Register!$X$15),0),(Project_Register!$AA$15-Project_Register!$X$15)*(J156-J157)/(1-Project_Register!$AC$15))))</f>
        <v>0</v>
      </c>
      <c r="K158" s="67" t="n">
        <f aca="false">IF(K$5="A",0,IF((Project_Register!$AA$15-Project_Register!$X$15)&lt;=0,0,IF(1-Project_Register!$AC$15&lt;=0.000001,IF(Assumptions!K$99=Assumptions!$C$10+1,(Project_Register!$AA$15-Project_Register!$X$15),0),(Project_Register!$AA$15-Project_Register!$X$15)*(K156-K157)/(1-Project_Register!$AC$15))))</f>
        <v>0</v>
      </c>
      <c r="L158" s="67" t="n">
        <f aca="false">IF(L$5="A",0,IF((Project_Register!$AA$15-Project_Register!$X$15)&lt;=0,0,IF(1-Project_Register!$AC$15&lt;=0.000001,IF(Assumptions!L$99=Assumptions!$C$10+1,(Project_Register!$AA$15-Project_Register!$X$15),0),(Project_Register!$AA$15-Project_Register!$X$15)*(L156-L157)/(1-Project_Register!$AC$15))))</f>
        <v>0</v>
      </c>
      <c r="M158" s="67" t="n">
        <f aca="false">IF(M$5="A",0,IF((Project_Register!$AA$15-Project_Register!$X$15)&lt;=0,0,IF(1-Project_Register!$AC$15&lt;=0.000001,IF(Assumptions!M$99=Assumptions!$C$10+1,(Project_Register!$AA$15-Project_Register!$X$15),0),(Project_Register!$AA$15-Project_Register!$X$15)*(M156-M157)/(1-Project_Register!$AC$15))))</f>
        <v>148.4375</v>
      </c>
      <c r="N158" s="67" t="n">
        <f aca="false">IF(N$5="A",0,IF((Project_Register!$AA$15-Project_Register!$X$15)&lt;=0,0,IF(1-Project_Register!$AC$15&lt;=0.000001,IF(Assumptions!N$99=Assumptions!$C$10+1,(Project_Register!$AA$15-Project_Register!$X$15),0),(Project_Register!$AA$15-Project_Register!$X$15)*(N156-N157)/(1-Project_Register!$AC$15))))</f>
        <v>326.5625</v>
      </c>
      <c r="O158" s="67" t="n">
        <f aca="false">IF(O$5="A",0,IF((Project_Register!$AA$15-Project_Register!$X$15)&lt;=0,0,IF(1-Project_Register!$AC$15&lt;=0.000001,IF(Assumptions!O$99=Assumptions!$C$10+1,(Project_Register!$AA$15-Project_Register!$X$15),0),(Project_Register!$AA$15-Project_Register!$X$15)*(O156-O157)/(1-Project_Register!$AC$15))))</f>
        <v>326.5625</v>
      </c>
      <c r="P158" s="67" t="n">
        <f aca="false">IF(P$5="A",0,IF((Project_Register!$AA$15-Project_Register!$X$15)&lt;=0,0,IF(1-Project_Register!$AC$15&lt;=0.000001,IF(Assumptions!P$99=Assumptions!$C$10+1,(Project_Register!$AA$15-Project_Register!$X$15),0),(Project_Register!$AA$15-Project_Register!$X$15)*(P156-P157)/(1-Project_Register!$AC$15))))</f>
        <v>148.4375</v>
      </c>
      <c r="Q158" s="67" t="n">
        <f aca="false">IF(Q$5="A",0,IF((Project_Register!$AA$15-Project_Register!$X$15)&lt;=0,0,IF(1-Project_Register!$AC$15&lt;=0.000001,IF(Assumptions!Q$99=Assumptions!$C$10+1,(Project_Register!$AA$15-Project_Register!$X$15),0),(Project_Register!$AA$15-Project_Register!$X$15)*(Q156-Q157)/(1-Project_Register!$AC$15))))</f>
        <v>0</v>
      </c>
      <c r="R158" s="67" t="n">
        <f aca="false">IF(R$5="A",0,IF((Project_Register!$AA$15-Project_Register!$X$15)&lt;=0,0,IF(1-Project_Register!$AC$15&lt;=0.000001,IF(Assumptions!R$99=Assumptions!$C$10+1,(Project_Register!$AA$15-Project_Register!$X$15),0),(Project_Register!$AA$15-Project_Register!$X$15)*(R156-R157)/(1-Project_Register!$AC$15))))</f>
        <v>0</v>
      </c>
      <c r="S158" s="67" t="n">
        <f aca="false">IF(S$5="A",0,IF((Project_Register!$AA$15-Project_Register!$X$15)&lt;=0,0,IF(1-Project_Register!$AC$15&lt;=0.000001,IF(Assumptions!S$99=Assumptions!$C$10+1,(Project_Register!$AA$15-Project_Register!$X$15),0),(Project_Register!$AA$15-Project_Register!$X$15)*(S156-S157)/(1-Project_Register!$AC$15))))</f>
        <v>0</v>
      </c>
      <c r="T158" s="67" t="n">
        <f aca="false">IF(T$5="A",0,IF((Project_Register!$AA$15-Project_Register!$X$15)&lt;=0,0,IF(1-Project_Register!$AC$15&lt;=0.000001,IF(Assumptions!T$99=Assumptions!$C$10+1,(Project_Register!$AA$15-Project_Register!$X$15),0),(Project_Register!$AA$15-Project_Register!$X$15)*(T156-T157)/(1-Project_Register!$AC$15))))</f>
        <v>0</v>
      </c>
      <c r="U158" s="67" t="n">
        <f aca="false">IF(U$5="A",0,IF((Project_Register!$AA$15-Project_Register!$X$15)&lt;=0,0,IF(1-Project_Register!$AC$15&lt;=0.000001,IF(Assumptions!U$99=Assumptions!$C$10+1,(Project_Register!$AA$15-Project_Register!$X$15),0),(Project_Register!$AA$15-Project_Register!$X$15)*(U156-U157)/(1-Project_Register!$AC$15))))</f>
        <v>0</v>
      </c>
      <c r="V158" s="67" t="n">
        <f aca="false">IF(V$5="A",0,IF((Project_Register!$AA$15-Project_Register!$X$15)&lt;=0,0,IF(1-Project_Register!$AC$15&lt;=0.000001,IF(Assumptions!V$99=Assumptions!$C$10+1,(Project_Register!$AA$15-Project_Register!$X$15),0),(Project_Register!$AA$15-Project_Register!$X$15)*(V156-V157)/(1-Project_Register!$AC$15))))</f>
        <v>0</v>
      </c>
      <c r="W158" s="67" t="n">
        <f aca="false">IF(W$5="A",0,IF((Project_Register!$AA$15-Project_Register!$X$15)&lt;=0,0,IF(1-Project_Register!$AC$15&lt;=0.000001,IF(Assumptions!W$99=Assumptions!$C$10+1,(Project_Register!$AA$15-Project_Register!$X$15),0),(Project_Register!$AA$15-Project_Register!$X$15)*(W156-W157)/(1-Project_Register!$AC$15))))</f>
        <v>0</v>
      </c>
      <c r="X158" s="67" t="n">
        <f aca="false">IF(X$5="A",0,IF((Project_Register!$AA$15-Project_Register!$X$15)&lt;=0,0,IF(1-Project_Register!$AC$15&lt;=0.000001,IF(Assumptions!X$99=Assumptions!$C$10+1,(Project_Register!$AA$15-Project_Register!$X$15),0),(Project_Register!$AA$15-Project_Register!$X$15)*(X156-X157)/(1-Project_Register!$AC$15))))</f>
        <v>0</v>
      </c>
      <c r="Y158" s="67" t="n">
        <f aca="false">IF(Y$5="A",0,IF((Project_Register!$AA$15-Project_Register!$X$15)&lt;=0,0,IF(1-Project_Register!$AC$15&lt;=0.000001,IF(Assumptions!Y$99=Assumptions!$C$10+1,(Project_Register!$AA$15-Project_Register!$X$15),0),(Project_Register!$AA$15-Project_Register!$X$15)*(Y156-Y157)/(1-Project_Register!$AC$15))))</f>
        <v>0</v>
      </c>
      <c r="Z158" s="67" t="n">
        <f aca="false">IF(Z$5="A",0,IF((Project_Register!$AA$15-Project_Register!$X$15)&lt;=0,0,IF(1-Project_Register!$AC$15&lt;=0.000001,IF(Assumptions!Z$99=Assumptions!$C$10+1,(Project_Register!$AA$15-Project_Register!$X$15),0),(Project_Register!$AA$15-Project_Register!$X$15)*(Z156-Z157)/(1-Project_Register!$AC$15))))</f>
        <v>0</v>
      </c>
      <c r="AA158" s="67" t="n">
        <f aca="false">IF(AA$5="A",0,IF((Project_Register!$AA$15-Project_Register!$X$15)&lt;=0,0,IF(1-Project_Register!$AC$15&lt;=0.000001,IF(Assumptions!AA$99=Assumptions!$C$10+1,(Project_Register!$AA$15-Project_Register!$X$15),0),(Project_Register!$AA$15-Project_Register!$X$15)*(AA156-AA157)/(1-Project_Register!$AC$15))))</f>
        <v>0</v>
      </c>
      <c r="AB158" s="67" t="n">
        <f aca="false">IF(AB$5="A",0,IF((Project_Register!$AA$15-Project_Register!$X$15)&lt;=0,0,IF(1-Project_Register!$AC$15&lt;=0.000001,IF(Assumptions!AB$99=Assumptions!$C$10+1,(Project_Register!$AA$15-Project_Register!$X$15),0),(Project_Register!$AA$15-Project_Register!$X$15)*(AB156-AB157)/(1-Project_Register!$AC$15))))</f>
        <v>0</v>
      </c>
    </row>
    <row r="159" customFormat="false" ht="15" hidden="false" customHeight="false" outlineLevel="0" collapsed="false">
      <c r="A159" s="28" t="s">
        <v>911</v>
      </c>
      <c r="B159" s="58" t="s">
        <v>912</v>
      </c>
      <c r="C159" s="66" t="n">
        <f aca="false">P159</f>
        <v>950</v>
      </c>
      <c r="D159" s="66" t="n">
        <f aca="false">AB159</f>
        <v>950</v>
      </c>
      <c r="E159" s="67" t="n">
        <f aca="false">Project_Register!$P$15+E158</f>
        <v>0</v>
      </c>
      <c r="F159" s="72" t="n">
        <f aca="false">E159+F158</f>
        <v>0</v>
      </c>
      <c r="G159" s="72" t="n">
        <f aca="false">F159+G158</f>
        <v>0</v>
      </c>
      <c r="H159" s="72" t="n">
        <f aca="false">G159+H158</f>
        <v>0</v>
      </c>
      <c r="I159" s="72" t="n">
        <f aca="false">H159+I158</f>
        <v>0</v>
      </c>
      <c r="J159" s="72" t="n">
        <f aca="false">I159+J158</f>
        <v>0</v>
      </c>
      <c r="K159" s="72" t="n">
        <f aca="false">J159+K158</f>
        <v>0</v>
      </c>
      <c r="L159" s="72" t="n">
        <f aca="false">K159+L158</f>
        <v>0</v>
      </c>
      <c r="M159" s="72" t="n">
        <f aca="false">L159+M158</f>
        <v>148.4375</v>
      </c>
      <c r="N159" s="72" t="n">
        <f aca="false">M159+N158</f>
        <v>475</v>
      </c>
      <c r="O159" s="72" t="n">
        <f aca="false">N159+O158</f>
        <v>801.5625</v>
      </c>
      <c r="P159" s="72" t="n">
        <f aca="false">O159+P158</f>
        <v>950</v>
      </c>
      <c r="Q159" s="72" t="n">
        <f aca="false">P159+Q158</f>
        <v>950</v>
      </c>
      <c r="R159" s="72" t="n">
        <f aca="false">Q159+R158</f>
        <v>950</v>
      </c>
      <c r="S159" s="72" t="n">
        <f aca="false">R159+S158</f>
        <v>950</v>
      </c>
      <c r="T159" s="72" t="n">
        <f aca="false">S159+T158</f>
        <v>950</v>
      </c>
      <c r="U159" s="72" t="n">
        <f aca="false">T159+U158</f>
        <v>950</v>
      </c>
      <c r="V159" s="72" t="n">
        <f aca="false">U159+V158</f>
        <v>950</v>
      </c>
      <c r="W159" s="72" t="n">
        <f aca="false">V159+W158</f>
        <v>950</v>
      </c>
      <c r="X159" s="72" t="n">
        <f aca="false">W159+X158</f>
        <v>950</v>
      </c>
      <c r="Y159" s="72" t="n">
        <f aca="false">X159+Y158</f>
        <v>950</v>
      </c>
      <c r="Z159" s="72" t="n">
        <f aca="false">Y159+Z158</f>
        <v>950</v>
      </c>
      <c r="AA159" s="72" t="n">
        <f aca="false">Z159+AA158</f>
        <v>950</v>
      </c>
      <c r="AB159" s="72" t="n">
        <f aca="false">AA159+AB158</f>
        <v>950</v>
      </c>
    </row>
    <row r="160" customFormat="false" ht="15" hidden="false" customHeight="false" outlineLevel="0" collapsed="false">
      <c r="A160" s="28" t="s">
        <v>913</v>
      </c>
      <c r="B160" s="58" t="s">
        <v>914</v>
      </c>
      <c r="C160" s="66" t="n">
        <f aca="false">P160</f>
        <v>950</v>
      </c>
      <c r="D160" s="66" t="n">
        <f aca="false">AB160</f>
        <v>950</v>
      </c>
      <c r="E160" s="67" t="n">
        <f aca="false">IF(E$5="A",Project_Register!$AA$15,Project_Register!$AA$15)</f>
        <v>950</v>
      </c>
      <c r="F160" s="67" t="n">
        <f aca="false">IF(F$5="A",Project_Register!$AA$15,Project_Register!$AA$15)</f>
        <v>950</v>
      </c>
      <c r="G160" s="67" t="n">
        <f aca="false">IF(G$5="A",Project_Register!$AA$15,Project_Register!$AA$15)</f>
        <v>950</v>
      </c>
      <c r="H160" s="67" t="n">
        <f aca="false">IF(H$5="A",Project_Register!$AA$15,Project_Register!$AA$15)</f>
        <v>950</v>
      </c>
      <c r="I160" s="67" t="n">
        <f aca="false">IF(I$5="A",Project_Register!$AA$15,Project_Register!$AA$15)</f>
        <v>950</v>
      </c>
      <c r="J160" s="67" t="n">
        <f aca="false">IF(J$5="A",Project_Register!$AA$15,Project_Register!$AA$15)</f>
        <v>950</v>
      </c>
      <c r="K160" s="67" t="n">
        <f aca="false">IF(K$5="A",Project_Register!$AA$15,Project_Register!$AA$15)</f>
        <v>950</v>
      </c>
      <c r="L160" s="67" t="n">
        <f aca="false">IF(L$5="A",Project_Register!$AA$15,Project_Register!$AA$15)</f>
        <v>950</v>
      </c>
      <c r="M160" s="67" t="n">
        <f aca="false">IF(M$5="A",Project_Register!$AA$15,Project_Register!$AA$15)</f>
        <v>950</v>
      </c>
      <c r="N160" s="67" t="n">
        <f aca="false">IF(N$5="A",Project_Register!$AA$15,Project_Register!$AA$15)</f>
        <v>950</v>
      </c>
      <c r="O160" s="67" t="n">
        <f aca="false">IF(O$5="A",Project_Register!$AA$15,Project_Register!$AA$15)</f>
        <v>950</v>
      </c>
      <c r="P160" s="67" t="n">
        <f aca="false">IF(P$5="A",Project_Register!$AA$15,Project_Register!$AA$15)</f>
        <v>950</v>
      </c>
      <c r="Q160" s="67" t="n">
        <f aca="false">IF(Q$5="A",Project_Register!$AA$15,Project_Register!$AA$15)</f>
        <v>950</v>
      </c>
      <c r="R160" s="67" t="n">
        <f aca="false">IF(R$5="A",Project_Register!$AA$15,Project_Register!$AA$15)</f>
        <v>950</v>
      </c>
      <c r="S160" s="67" t="n">
        <f aca="false">IF(S$5="A",Project_Register!$AA$15,Project_Register!$AA$15)</f>
        <v>950</v>
      </c>
      <c r="T160" s="67" t="n">
        <f aca="false">IF(T$5="A",Project_Register!$AA$15,Project_Register!$AA$15)</f>
        <v>950</v>
      </c>
      <c r="U160" s="67" t="n">
        <f aca="false">IF(U$5="A",Project_Register!$AA$15,Project_Register!$AA$15)</f>
        <v>950</v>
      </c>
      <c r="V160" s="67" t="n">
        <f aca="false">IF(V$5="A",Project_Register!$AA$15,Project_Register!$AA$15)</f>
        <v>950</v>
      </c>
      <c r="W160" s="67" t="n">
        <f aca="false">IF(W$5="A",Project_Register!$AA$15,Project_Register!$AA$15)</f>
        <v>950</v>
      </c>
      <c r="X160" s="67" t="n">
        <f aca="false">IF(X$5="A",Project_Register!$AA$15,Project_Register!$AA$15)</f>
        <v>950</v>
      </c>
      <c r="Y160" s="67" t="n">
        <f aca="false">IF(Y$5="A",Project_Register!$AA$15,Project_Register!$AA$15)</f>
        <v>950</v>
      </c>
      <c r="Z160" s="67" t="n">
        <f aca="false">IF(Z$5="A",Project_Register!$AA$15,Project_Register!$AA$15)</f>
        <v>950</v>
      </c>
      <c r="AA160" s="67" t="n">
        <f aca="false">IF(AA$5="A",Project_Register!$AA$15,Project_Register!$AA$15)</f>
        <v>950</v>
      </c>
      <c r="AB160" s="67" t="n">
        <f aca="false">IF(AB$5="A",Project_Register!$AA$15,Project_Register!$AA$15)</f>
        <v>950</v>
      </c>
    </row>
    <row r="161" customFormat="false" ht="15" hidden="false" customHeight="false" outlineLevel="0" collapsed="false">
      <c r="A161" s="28" t="s">
        <v>915</v>
      </c>
      <c r="B161" s="58" t="s">
        <v>916</v>
      </c>
      <c r="C161" s="61" t="n">
        <f aca="false">P161</f>
        <v>1</v>
      </c>
      <c r="D161" s="61" t="n">
        <f aca="false">AB161</f>
        <v>1</v>
      </c>
      <c r="E161" s="62" t="n">
        <f aca="false">IF(E160&lt;=0,0,MIN(1,E159/E160))</f>
        <v>0</v>
      </c>
      <c r="F161" s="62" t="n">
        <f aca="false">IF(F160&lt;=0,0,MIN(1,F159/F160))</f>
        <v>0</v>
      </c>
      <c r="G161" s="62" t="n">
        <f aca="false">IF(G160&lt;=0,0,MIN(1,G159/G160))</f>
        <v>0</v>
      </c>
      <c r="H161" s="62" t="n">
        <f aca="false">IF(H160&lt;=0,0,MIN(1,H159/H160))</f>
        <v>0</v>
      </c>
      <c r="I161" s="62" t="n">
        <f aca="false">IF(I160&lt;=0,0,MIN(1,I159/I160))</f>
        <v>0</v>
      </c>
      <c r="J161" s="62" t="n">
        <f aca="false">IF(J160&lt;=0,0,MIN(1,J159/J160))</f>
        <v>0</v>
      </c>
      <c r="K161" s="62" t="n">
        <f aca="false">IF(K160&lt;=0,0,MIN(1,K159/K160))</f>
        <v>0</v>
      </c>
      <c r="L161" s="62" t="n">
        <f aca="false">IF(L160&lt;=0,0,MIN(1,L159/L160))</f>
        <v>0</v>
      </c>
      <c r="M161" s="62" t="n">
        <f aca="false">IF(M160&lt;=0,0,MIN(1,M159/M160))</f>
        <v>0.15625</v>
      </c>
      <c r="N161" s="62" t="n">
        <f aca="false">IF(N160&lt;=0,0,MIN(1,N159/N160))</f>
        <v>0.5</v>
      </c>
      <c r="O161" s="62" t="n">
        <f aca="false">IF(O160&lt;=0,0,MIN(1,O159/O160))</f>
        <v>0.84375</v>
      </c>
      <c r="P161" s="62" t="n">
        <f aca="false">IF(P160&lt;=0,0,MIN(1,P159/P160))</f>
        <v>1</v>
      </c>
      <c r="Q161" s="62" t="n">
        <f aca="false">IF(Q160&lt;=0,0,MIN(1,Q159/Q160))</f>
        <v>1</v>
      </c>
      <c r="R161" s="62" t="n">
        <f aca="false">IF(R160&lt;=0,0,MIN(1,R159/R160))</f>
        <v>1</v>
      </c>
      <c r="S161" s="62" t="n">
        <f aca="false">IF(S160&lt;=0,0,MIN(1,S159/S160))</f>
        <v>1</v>
      </c>
      <c r="T161" s="62" t="n">
        <f aca="false">IF(T160&lt;=0,0,MIN(1,T159/T160))</f>
        <v>1</v>
      </c>
      <c r="U161" s="62" t="n">
        <f aca="false">IF(U160&lt;=0,0,MIN(1,U159/U160))</f>
        <v>1</v>
      </c>
      <c r="V161" s="62" t="n">
        <f aca="false">IF(V160&lt;=0,0,MIN(1,V159/V160))</f>
        <v>1</v>
      </c>
      <c r="W161" s="62" t="n">
        <f aca="false">IF(W160&lt;=0,0,MIN(1,W159/W160))</f>
        <v>1</v>
      </c>
      <c r="X161" s="62" t="n">
        <f aca="false">IF(X160&lt;=0,0,MIN(1,X159/X160))</f>
        <v>1</v>
      </c>
      <c r="Y161" s="62" t="n">
        <f aca="false">IF(Y160&lt;=0,0,MIN(1,Y159/Y160))</f>
        <v>1</v>
      </c>
      <c r="Z161" s="62" t="n">
        <f aca="false">IF(Z160&lt;=0,0,MIN(1,Z159/Z160))</f>
        <v>1</v>
      </c>
      <c r="AA161" s="62" t="n">
        <f aca="false">IF(AA160&lt;=0,0,MIN(1,AA159/AA160))</f>
        <v>1</v>
      </c>
      <c r="AB161" s="62" t="n">
        <f aca="false">IF(AB160&lt;=0,0,MIN(1,AB159/AB160))</f>
        <v>1</v>
      </c>
    </row>
    <row r="162" customFormat="false" ht="15" hidden="false" customHeight="false" outlineLevel="0" collapsed="false">
      <c r="A162" s="28" t="s">
        <v>917</v>
      </c>
      <c r="B162" s="58" t="s">
        <v>918</v>
      </c>
      <c r="C162" s="59" t="n">
        <f aca="false">P162</f>
        <v>120000</v>
      </c>
      <c r="D162" s="59" t="n">
        <f aca="false">AB162</f>
        <v>120000</v>
      </c>
      <c r="E162" s="60" t="n">
        <f aca="false">IF(E$5="A",0,Project_Register!$W$15)</f>
        <v>0</v>
      </c>
      <c r="F162" s="60" t="n">
        <f aca="false">IF(F$5="A",0,Project_Register!$W$15)</f>
        <v>0</v>
      </c>
      <c r="G162" s="60" t="n">
        <f aca="false">IF(G$5="A",0,Project_Register!$W$15)</f>
        <v>0</v>
      </c>
      <c r="H162" s="60" t="n">
        <f aca="false">IF(H$5="A",0,Project_Register!$W$15)</f>
        <v>0</v>
      </c>
      <c r="I162" s="60" t="n">
        <f aca="false">IF(I$5="A",0,Project_Register!$W$15)</f>
        <v>0</v>
      </c>
      <c r="J162" s="60" t="n">
        <f aca="false">IF(J$5="A",0,Project_Register!$W$15)</f>
        <v>0</v>
      </c>
      <c r="K162" s="60" t="n">
        <f aca="false">IF(K$5="A",0,Project_Register!$W$15)</f>
        <v>0</v>
      </c>
      <c r="L162" s="60" t="n">
        <f aca="false">IF(L$5="A",0,Project_Register!$W$15)</f>
        <v>0</v>
      </c>
      <c r="M162" s="60" t="n">
        <f aca="false">IF(M$5="A",0,Project_Register!$W$15)</f>
        <v>120000</v>
      </c>
      <c r="N162" s="60" t="n">
        <f aca="false">IF(N$5="A",0,Project_Register!$W$15)</f>
        <v>120000</v>
      </c>
      <c r="O162" s="60" t="n">
        <f aca="false">IF(O$5="A",0,Project_Register!$W$15)</f>
        <v>120000</v>
      </c>
      <c r="P162" s="60" t="n">
        <f aca="false">IF(P$5="A",0,Project_Register!$W$15)</f>
        <v>120000</v>
      </c>
      <c r="Q162" s="60" t="n">
        <f aca="false">IF(Q$5="A",0,Project_Register!$W$15)</f>
        <v>120000</v>
      </c>
      <c r="R162" s="60" t="n">
        <f aca="false">IF(R$5="A",0,Project_Register!$W$15)</f>
        <v>120000</v>
      </c>
      <c r="S162" s="60" t="n">
        <f aca="false">IF(S$5="A",0,Project_Register!$W$15)</f>
        <v>120000</v>
      </c>
      <c r="T162" s="60" t="n">
        <f aca="false">IF(T$5="A",0,Project_Register!$W$15)</f>
        <v>120000</v>
      </c>
      <c r="U162" s="60" t="n">
        <f aca="false">IF(U$5="A",0,Project_Register!$W$15)</f>
        <v>120000</v>
      </c>
      <c r="V162" s="60" t="n">
        <f aca="false">IF(V$5="A",0,Project_Register!$W$15)</f>
        <v>120000</v>
      </c>
      <c r="W162" s="60" t="n">
        <f aca="false">IF(W$5="A",0,Project_Register!$W$15)</f>
        <v>120000</v>
      </c>
      <c r="X162" s="60" t="n">
        <f aca="false">IF(X$5="A",0,Project_Register!$W$15)</f>
        <v>120000</v>
      </c>
      <c r="Y162" s="60" t="n">
        <f aca="false">IF(Y$5="A",0,Project_Register!$W$15)</f>
        <v>120000</v>
      </c>
      <c r="Z162" s="60" t="n">
        <f aca="false">IF(Z$5="A",0,Project_Register!$W$15)</f>
        <v>120000</v>
      </c>
      <c r="AA162" s="60" t="n">
        <f aca="false">IF(AA$5="A",0,Project_Register!$W$15)</f>
        <v>120000</v>
      </c>
      <c r="AB162" s="60" t="n">
        <f aca="false">IF(AB$5="A",0,Project_Register!$W$15)</f>
        <v>120000</v>
      </c>
    </row>
    <row r="163" customFormat="false" ht="15" hidden="false" customHeight="false" outlineLevel="0" collapsed="false">
      <c r="A163" s="28" t="s">
        <v>919</v>
      </c>
      <c r="B163" s="58" t="s">
        <v>920</v>
      </c>
      <c r="C163" s="59" t="n">
        <f aca="false">P163</f>
        <v>120000</v>
      </c>
      <c r="D163" s="59" t="n">
        <f aca="false">AB163</f>
        <v>120000</v>
      </c>
      <c r="E163" s="60" t="n">
        <f aca="false">IF(E$5="A",Project_Register!$Q$15+0,E161*E162)</f>
        <v>0</v>
      </c>
      <c r="F163" s="71" t="n">
        <f aca="false">IF(F$5="A",E163+0,F161*F162)</f>
        <v>0</v>
      </c>
      <c r="G163" s="71" t="n">
        <f aca="false">IF(G$5="A",F163+0,G161*G162)</f>
        <v>0</v>
      </c>
      <c r="H163" s="71" t="n">
        <f aca="false">IF(H$5="A",G163+0,H161*H162)</f>
        <v>0</v>
      </c>
      <c r="I163" s="71" t="n">
        <f aca="false">IF(I$5="A",H163+0,I161*I162)</f>
        <v>0</v>
      </c>
      <c r="J163" s="71" t="n">
        <f aca="false">IF(J$5="A",I163+0,J161*J162)</f>
        <v>0</v>
      </c>
      <c r="K163" s="71" t="n">
        <f aca="false">IF(K$5="A",J163+0,K161*K162)</f>
        <v>0</v>
      </c>
      <c r="L163" s="71" t="n">
        <f aca="false">IF(L$5="A",K163+0,L161*L162)</f>
        <v>0</v>
      </c>
      <c r="M163" s="71" t="n">
        <f aca="false">IF(M$5="A",L163+0,M161*M162)</f>
        <v>18750</v>
      </c>
      <c r="N163" s="71" t="n">
        <f aca="false">IF(N$5="A",M163+0,N161*N162)</f>
        <v>60000</v>
      </c>
      <c r="O163" s="71" t="n">
        <f aca="false">IF(O$5="A",N163+0,O161*O162)</f>
        <v>101250</v>
      </c>
      <c r="P163" s="71" t="n">
        <f aca="false">IF(P$5="A",O163+0,P161*P162)</f>
        <v>120000</v>
      </c>
      <c r="Q163" s="71" t="n">
        <f aca="false">IF(Q$5="A",P163+0,Q161*Q162)</f>
        <v>120000</v>
      </c>
      <c r="R163" s="71" t="n">
        <f aca="false">IF(R$5="A",Q163+0,R161*R162)</f>
        <v>120000</v>
      </c>
      <c r="S163" s="71" t="n">
        <f aca="false">IF(S$5="A",R163+0,S161*S162)</f>
        <v>120000</v>
      </c>
      <c r="T163" s="71" t="n">
        <f aca="false">IF(T$5="A",S163+0,T161*T162)</f>
        <v>120000</v>
      </c>
      <c r="U163" s="71" t="n">
        <f aca="false">IF(U$5="A",T163+0,U161*U162)</f>
        <v>120000</v>
      </c>
      <c r="V163" s="71" t="n">
        <f aca="false">IF(V$5="A",U163+0,V161*V162)</f>
        <v>120000</v>
      </c>
      <c r="W163" s="71" t="n">
        <f aca="false">IF(W$5="A",V163+0,W161*W162)</f>
        <v>120000</v>
      </c>
      <c r="X163" s="71" t="n">
        <f aca="false">IF(X$5="A",W163+0,X161*X162)</f>
        <v>120000</v>
      </c>
      <c r="Y163" s="71" t="n">
        <f aca="false">IF(Y$5="A",X163+0,Y161*Y162)</f>
        <v>120000</v>
      </c>
      <c r="Z163" s="71" t="n">
        <f aca="false">IF(Z$5="A",Y163+0,Z161*Z162)</f>
        <v>120000</v>
      </c>
      <c r="AA163" s="71" t="n">
        <f aca="false">IF(AA$5="A",Z163+0,AA161*AA162)</f>
        <v>120000</v>
      </c>
      <c r="AB163" s="71" t="n">
        <f aca="false">IF(AB$5="A",AA163+0,AB161*AB162)</f>
        <v>120000</v>
      </c>
    </row>
    <row r="164" customFormat="false" ht="15" hidden="false" customHeight="false" outlineLevel="0" collapsed="false">
      <c r="A164" s="68" t="s">
        <v>937</v>
      </c>
      <c r="B164" s="69" t="s">
        <v>922</v>
      </c>
      <c r="C164" s="70" t="n">
        <f aca="false">SUM(E164:P164)</f>
        <v>120000</v>
      </c>
      <c r="D164" s="70" t="n">
        <f aca="false">SUM(Q164:AB164)</f>
        <v>0</v>
      </c>
      <c r="E164" s="74" t="n">
        <f aca="false">E163-Project_Register!$Q$15</f>
        <v>0</v>
      </c>
      <c r="F164" s="70" t="n">
        <f aca="false">F163-E163</f>
        <v>0</v>
      </c>
      <c r="G164" s="70" t="n">
        <f aca="false">G163-F163</f>
        <v>0</v>
      </c>
      <c r="H164" s="70" t="n">
        <f aca="false">H163-G163</f>
        <v>0</v>
      </c>
      <c r="I164" s="70" t="n">
        <f aca="false">I163-H163</f>
        <v>0</v>
      </c>
      <c r="J164" s="70" t="n">
        <f aca="false">J163-I163</f>
        <v>0</v>
      </c>
      <c r="K164" s="70" t="n">
        <f aca="false">K163-J163</f>
        <v>0</v>
      </c>
      <c r="L164" s="70" t="n">
        <f aca="false">L163-K163</f>
        <v>0</v>
      </c>
      <c r="M164" s="70" t="n">
        <f aca="false">M163-L163</f>
        <v>18750</v>
      </c>
      <c r="N164" s="70" t="n">
        <f aca="false">N163-M163</f>
        <v>41250</v>
      </c>
      <c r="O164" s="70" t="n">
        <f aca="false">O163-N163</f>
        <v>41250</v>
      </c>
      <c r="P164" s="70" t="n">
        <f aca="false">P163-O163</f>
        <v>18750</v>
      </c>
      <c r="Q164" s="70" t="n">
        <f aca="false">Q163-P163</f>
        <v>0</v>
      </c>
      <c r="R164" s="70" t="n">
        <f aca="false">R163-Q163</f>
        <v>0</v>
      </c>
      <c r="S164" s="70" t="n">
        <f aca="false">S163-R163</f>
        <v>0</v>
      </c>
      <c r="T164" s="70" t="n">
        <f aca="false">T163-S163</f>
        <v>0</v>
      </c>
      <c r="U164" s="70" t="n">
        <f aca="false">U163-T163</f>
        <v>0</v>
      </c>
      <c r="V164" s="70" t="n">
        <f aca="false">V163-U163</f>
        <v>0</v>
      </c>
      <c r="W164" s="70" t="n">
        <f aca="false">W163-V163</f>
        <v>0</v>
      </c>
      <c r="X164" s="70" t="n">
        <f aca="false">X163-W163</f>
        <v>0</v>
      </c>
      <c r="Y164" s="70" t="n">
        <f aca="false">Y163-X163</f>
        <v>0</v>
      </c>
      <c r="Z164" s="70" t="n">
        <f aca="false">Z163-Y163</f>
        <v>0</v>
      </c>
      <c r="AA164" s="70" t="n">
        <f aca="false">AA163-Z163</f>
        <v>0</v>
      </c>
      <c r="AB164" s="70" t="n">
        <f aca="false">AB163-AA163</f>
        <v>0</v>
      </c>
    </row>
    <row r="165" customFormat="false" ht="15" hidden="false" customHeight="false" outlineLevel="0" collapsed="false">
      <c r="A165" s="28" t="s">
        <v>923</v>
      </c>
      <c r="B165" s="58" t="s">
        <v>924</v>
      </c>
      <c r="C165" s="59" t="n">
        <f aca="false">P165</f>
        <v>120000</v>
      </c>
      <c r="D165" s="59" t="n">
        <f aca="false">AB165</f>
        <v>120000</v>
      </c>
      <c r="E165" s="60" t="n">
        <f aca="false">E162*(Assumptions!$C$71*(Assumptions!E$99&gt;=Project_Register!$T$15)+Assumptions!$C$72*(Assumptions!E$99&gt;=Project_Register!$V$15)+Assumptions!$C$73*(Assumptions!E$99&gt;=Project_Register!$U$15))</f>
        <v>0</v>
      </c>
      <c r="F165" s="60" t="n">
        <f aca="false">F162*(Assumptions!$C$71*(Assumptions!F$99&gt;=Project_Register!$T$15)+Assumptions!$C$72*(Assumptions!F$99&gt;=Project_Register!$V$15)+Assumptions!$C$73*(Assumptions!F$99&gt;=Project_Register!$U$15))</f>
        <v>0</v>
      </c>
      <c r="G165" s="60" t="n">
        <f aca="false">G162*(Assumptions!$C$71*(Assumptions!G$99&gt;=Project_Register!$T$15)+Assumptions!$C$72*(Assumptions!G$99&gt;=Project_Register!$V$15)+Assumptions!$C$73*(Assumptions!G$99&gt;=Project_Register!$U$15))</f>
        <v>0</v>
      </c>
      <c r="H165" s="60" t="n">
        <f aca="false">H162*(Assumptions!$C$71*(Assumptions!H$99&gt;=Project_Register!$T$15)+Assumptions!$C$72*(Assumptions!H$99&gt;=Project_Register!$V$15)+Assumptions!$C$73*(Assumptions!H$99&gt;=Project_Register!$U$15))</f>
        <v>0</v>
      </c>
      <c r="I165" s="60" t="n">
        <f aca="false">I162*(Assumptions!$C$71*(Assumptions!I$99&gt;=Project_Register!$T$15)+Assumptions!$C$72*(Assumptions!I$99&gt;=Project_Register!$V$15)+Assumptions!$C$73*(Assumptions!I$99&gt;=Project_Register!$U$15))</f>
        <v>0</v>
      </c>
      <c r="J165" s="60" t="n">
        <f aca="false">J162*(Assumptions!$C$71*(Assumptions!J$99&gt;=Project_Register!$T$15)+Assumptions!$C$72*(Assumptions!J$99&gt;=Project_Register!$V$15)+Assumptions!$C$73*(Assumptions!J$99&gt;=Project_Register!$U$15))</f>
        <v>0</v>
      </c>
      <c r="K165" s="60" t="n">
        <f aca="false">K162*(Assumptions!$C$71*(Assumptions!K$99&gt;=Project_Register!$T$15)+Assumptions!$C$72*(Assumptions!K$99&gt;=Project_Register!$V$15)+Assumptions!$C$73*(Assumptions!K$99&gt;=Project_Register!$U$15))</f>
        <v>0</v>
      </c>
      <c r="L165" s="60" t="n">
        <f aca="false">L162*(Assumptions!$C$71*(Assumptions!L$99&gt;=Project_Register!$T$15)+Assumptions!$C$72*(Assumptions!L$99&gt;=Project_Register!$V$15)+Assumptions!$C$73*(Assumptions!L$99&gt;=Project_Register!$U$15))</f>
        <v>0</v>
      </c>
      <c r="M165" s="60" t="n">
        <f aca="false">M162*(Assumptions!$C$71*(Assumptions!M$99&gt;=Project_Register!$T$15)+Assumptions!$C$72*(Assumptions!M$99&gt;=Project_Register!$V$15)+Assumptions!$C$73*(Assumptions!M$99&gt;=Project_Register!$U$15))</f>
        <v>36000</v>
      </c>
      <c r="N165" s="60" t="n">
        <f aca="false">N162*(Assumptions!$C$71*(Assumptions!N$99&gt;=Project_Register!$T$15)+Assumptions!$C$72*(Assumptions!N$99&gt;=Project_Register!$V$15)+Assumptions!$C$73*(Assumptions!N$99&gt;=Project_Register!$U$15))</f>
        <v>36000</v>
      </c>
      <c r="O165" s="60" t="n">
        <f aca="false">O162*(Assumptions!$C$71*(Assumptions!O$99&gt;=Project_Register!$T$15)+Assumptions!$C$72*(Assumptions!O$99&gt;=Project_Register!$V$15)+Assumptions!$C$73*(Assumptions!O$99&gt;=Project_Register!$U$15))</f>
        <v>84000</v>
      </c>
      <c r="P165" s="60" t="n">
        <f aca="false">P162*(Assumptions!$C$71*(Assumptions!P$99&gt;=Project_Register!$T$15)+Assumptions!$C$72*(Assumptions!P$99&gt;=Project_Register!$V$15)+Assumptions!$C$73*(Assumptions!P$99&gt;=Project_Register!$U$15))</f>
        <v>120000</v>
      </c>
      <c r="Q165" s="60" t="n">
        <f aca="false">Q162*(Assumptions!$C$71*(Assumptions!Q$99&gt;=Project_Register!$T$15)+Assumptions!$C$72*(Assumptions!Q$99&gt;=Project_Register!$V$15)+Assumptions!$C$73*(Assumptions!Q$99&gt;=Project_Register!$U$15))</f>
        <v>120000</v>
      </c>
      <c r="R165" s="60" t="n">
        <f aca="false">R162*(Assumptions!$C$71*(Assumptions!R$99&gt;=Project_Register!$T$15)+Assumptions!$C$72*(Assumptions!R$99&gt;=Project_Register!$V$15)+Assumptions!$C$73*(Assumptions!R$99&gt;=Project_Register!$U$15))</f>
        <v>120000</v>
      </c>
      <c r="S165" s="60" t="n">
        <f aca="false">S162*(Assumptions!$C$71*(Assumptions!S$99&gt;=Project_Register!$T$15)+Assumptions!$C$72*(Assumptions!S$99&gt;=Project_Register!$V$15)+Assumptions!$C$73*(Assumptions!S$99&gt;=Project_Register!$U$15))</f>
        <v>120000</v>
      </c>
      <c r="T165" s="60" t="n">
        <f aca="false">T162*(Assumptions!$C$71*(Assumptions!T$99&gt;=Project_Register!$T$15)+Assumptions!$C$72*(Assumptions!T$99&gt;=Project_Register!$V$15)+Assumptions!$C$73*(Assumptions!T$99&gt;=Project_Register!$U$15))</f>
        <v>120000</v>
      </c>
      <c r="U165" s="60" t="n">
        <f aca="false">U162*(Assumptions!$C$71*(Assumptions!U$99&gt;=Project_Register!$T$15)+Assumptions!$C$72*(Assumptions!U$99&gt;=Project_Register!$V$15)+Assumptions!$C$73*(Assumptions!U$99&gt;=Project_Register!$U$15))</f>
        <v>120000</v>
      </c>
      <c r="V165" s="60" t="n">
        <f aca="false">V162*(Assumptions!$C$71*(Assumptions!V$99&gt;=Project_Register!$T$15)+Assumptions!$C$72*(Assumptions!V$99&gt;=Project_Register!$V$15)+Assumptions!$C$73*(Assumptions!V$99&gt;=Project_Register!$U$15))</f>
        <v>120000</v>
      </c>
      <c r="W165" s="60" t="n">
        <f aca="false">W162*(Assumptions!$C$71*(Assumptions!W$99&gt;=Project_Register!$T$15)+Assumptions!$C$72*(Assumptions!W$99&gt;=Project_Register!$V$15)+Assumptions!$C$73*(Assumptions!W$99&gt;=Project_Register!$U$15))</f>
        <v>120000</v>
      </c>
      <c r="X165" s="60" t="n">
        <f aca="false">X162*(Assumptions!$C$71*(Assumptions!X$99&gt;=Project_Register!$T$15)+Assumptions!$C$72*(Assumptions!X$99&gt;=Project_Register!$V$15)+Assumptions!$C$73*(Assumptions!X$99&gt;=Project_Register!$U$15))</f>
        <v>120000</v>
      </c>
      <c r="Y165" s="60" t="n">
        <f aca="false">Y162*(Assumptions!$C$71*(Assumptions!Y$99&gt;=Project_Register!$T$15)+Assumptions!$C$72*(Assumptions!Y$99&gt;=Project_Register!$V$15)+Assumptions!$C$73*(Assumptions!Y$99&gt;=Project_Register!$U$15))</f>
        <v>120000</v>
      </c>
      <c r="Z165" s="60" t="n">
        <f aca="false">Z162*(Assumptions!$C$71*(Assumptions!Z$99&gt;=Project_Register!$T$15)+Assumptions!$C$72*(Assumptions!Z$99&gt;=Project_Register!$V$15)+Assumptions!$C$73*(Assumptions!Z$99&gt;=Project_Register!$U$15))</f>
        <v>120000</v>
      </c>
      <c r="AA165" s="60" t="n">
        <f aca="false">AA162*(Assumptions!$C$71*(Assumptions!AA$99&gt;=Project_Register!$T$15)+Assumptions!$C$72*(Assumptions!AA$99&gt;=Project_Register!$V$15)+Assumptions!$C$73*(Assumptions!AA$99&gt;=Project_Register!$U$15))</f>
        <v>120000</v>
      </c>
      <c r="AB165" s="60" t="n">
        <f aca="false">AB162*(Assumptions!$C$71*(Assumptions!AB$99&gt;=Project_Register!$T$15)+Assumptions!$C$72*(Assumptions!AB$99&gt;=Project_Register!$V$15)+Assumptions!$C$73*(Assumptions!AB$99&gt;=Project_Register!$U$15))</f>
        <v>120000</v>
      </c>
    </row>
    <row r="166" customFormat="false" ht="15" hidden="false" customHeight="false" outlineLevel="0" collapsed="false">
      <c r="A166" s="28" t="s">
        <v>925</v>
      </c>
      <c r="B166" s="58" t="s">
        <v>926</v>
      </c>
      <c r="C166" s="59" t="n">
        <f aca="false">SUM(E166:P166)</f>
        <v>120000</v>
      </c>
      <c r="D166" s="59" t="n">
        <f aca="false">SUM(Q166:AB166)</f>
        <v>0</v>
      </c>
      <c r="E166" s="60" t="n">
        <f aca="false">IF(E$5="A",0,MAX(0,E165-Project_Register!$R$15))</f>
        <v>0</v>
      </c>
      <c r="F166" s="71" t="n">
        <f aca="false">IF(F$5="A",0,MAX(0,F165-E167))</f>
        <v>0</v>
      </c>
      <c r="G166" s="71" t="n">
        <f aca="false">IF(G$5="A",0,MAX(0,G165-F167))</f>
        <v>0</v>
      </c>
      <c r="H166" s="71" t="n">
        <f aca="false">IF(H$5="A",0,MAX(0,H165-G167))</f>
        <v>0</v>
      </c>
      <c r="I166" s="71" t="n">
        <f aca="false">IF(I$5="A",0,MAX(0,I165-H167))</f>
        <v>0</v>
      </c>
      <c r="J166" s="71" t="n">
        <f aca="false">IF(J$5="A",0,MAX(0,J165-I167))</f>
        <v>0</v>
      </c>
      <c r="K166" s="71" t="n">
        <f aca="false">IF(K$5="A",0,MAX(0,K165-J167))</f>
        <v>0</v>
      </c>
      <c r="L166" s="71" t="n">
        <f aca="false">IF(L$5="A",0,MAX(0,L165-K167))</f>
        <v>0</v>
      </c>
      <c r="M166" s="71" t="n">
        <f aca="false">IF(M$5="A",0,MAX(0,M165-L167))</f>
        <v>36000</v>
      </c>
      <c r="N166" s="71" t="n">
        <f aca="false">IF(N$5="A",0,MAX(0,N165-M167))</f>
        <v>0</v>
      </c>
      <c r="O166" s="71" t="n">
        <f aca="false">IF(O$5="A",0,MAX(0,O165-N167))</f>
        <v>48000</v>
      </c>
      <c r="P166" s="71" t="n">
        <f aca="false">IF(P$5="A",0,MAX(0,P165-O167))</f>
        <v>36000</v>
      </c>
      <c r="Q166" s="71" t="n">
        <f aca="false">IF(Q$5="A",0,MAX(0,Q165-P167))</f>
        <v>0</v>
      </c>
      <c r="R166" s="71" t="n">
        <f aca="false">IF(R$5="A",0,MAX(0,R165-Q167))</f>
        <v>0</v>
      </c>
      <c r="S166" s="71" t="n">
        <f aca="false">IF(S$5="A",0,MAX(0,S165-R167))</f>
        <v>0</v>
      </c>
      <c r="T166" s="71" t="n">
        <f aca="false">IF(T$5="A",0,MAX(0,T165-S167))</f>
        <v>0</v>
      </c>
      <c r="U166" s="71" t="n">
        <f aca="false">IF(U$5="A",0,MAX(0,U165-T167))</f>
        <v>0</v>
      </c>
      <c r="V166" s="71" t="n">
        <f aca="false">IF(V$5="A",0,MAX(0,V165-U167))</f>
        <v>0</v>
      </c>
      <c r="W166" s="71" t="n">
        <f aca="false">IF(W$5="A",0,MAX(0,W165-V167))</f>
        <v>0</v>
      </c>
      <c r="X166" s="71" t="n">
        <f aca="false">IF(X$5="A",0,MAX(0,X165-W167))</f>
        <v>0</v>
      </c>
      <c r="Y166" s="71" t="n">
        <f aca="false">IF(Y$5="A",0,MAX(0,Y165-X167))</f>
        <v>0</v>
      </c>
      <c r="Z166" s="71" t="n">
        <f aca="false">IF(Z$5="A",0,MAX(0,Z165-Y167))</f>
        <v>0</v>
      </c>
      <c r="AA166" s="71" t="n">
        <f aca="false">IF(AA$5="A",0,MAX(0,AA165-Z167))</f>
        <v>0</v>
      </c>
      <c r="AB166" s="71" t="n">
        <f aca="false">IF(AB$5="A",0,MAX(0,AB165-AA167))</f>
        <v>0</v>
      </c>
    </row>
    <row r="167" customFormat="false" ht="15" hidden="false" customHeight="false" outlineLevel="0" collapsed="false">
      <c r="A167" s="28" t="s">
        <v>927</v>
      </c>
      <c r="B167" s="58"/>
      <c r="C167" s="59" t="n">
        <f aca="false">P167</f>
        <v>120000</v>
      </c>
      <c r="D167" s="59" t="n">
        <f aca="false">AB167</f>
        <v>120000</v>
      </c>
      <c r="E167" s="60" t="n">
        <f aca="false">Project_Register!$R$15+E166</f>
        <v>0</v>
      </c>
      <c r="F167" s="71" t="n">
        <f aca="false">E167+F166</f>
        <v>0</v>
      </c>
      <c r="G167" s="71" t="n">
        <f aca="false">F167+G166</f>
        <v>0</v>
      </c>
      <c r="H167" s="71" t="n">
        <f aca="false">G167+H166</f>
        <v>0</v>
      </c>
      <c r="I167" s="71" t="n">
        <f aca="false">H167+I166</f>
        <v>0</v>
      </c>
      <c r="J167" s="71" t="n">
        <f aca="false">I167+J166</f>
        <v>0</v>
      </c>
      <c r="K167" s="71" t="n">
        <f aca="false">J167+K166</f>
        <v>0</v>
      </c>
      <c r="L167" s="71" t="n">
        <f aca="false">K167+L166</f>
        <v>0</v>
      </c>
      <c r="M167" s="71" t="n">
        <f aca="false">L167+M166</f>
        <v>36000</v>
      </c>
      <c r="N167" s="71" t="n">
        <f aca="false">M167+N166</f>
        <v>36000</v>
      </c>
      <c r="O167" s="71" t="n">
        <f aca="false">N167+O166</f>
        <v>84000</v>
      </c>
      <c r="P167" s="71" t="n">
        <f aca="false">O167+P166</f>
        <v>120000</v>
      </c>
      <c r="Q167" s="71" t="n">
        <f aca="false">P167+Q166</f>
        <v>120000</v>
      </c>
      <c r="R167" s="71" t="n">
        <f aca="false">Q167+R166</f>
        <v>120000</v>
      </c>
      <c r="S167" s="71" t="n">
        <f aca="false">R167+S166</f>
        <v>120000</v>
      </c>
      <c r="T167" s="71" t="n">
        <f aca="false">S167+T166</f>
        <v>120000</v>
      </c>
      <c r="U167" s="71" t="n">
        <f aca="false">T167+U166</f>
        <v>120000</v>
      </c>
      <c r="V167" s="71" t="n">
        <f aca="false">U167+V166</f>
        <v>120000</v>
      </c>
      <c r="W167" s="71" t="n">
        <f aca="false">V167+W166</f>
        <v>120000</v>
      </c>
      <c r="X167" s="71" t="n">
        <f aca="false">W167+X166</f>
        <v>120000</v>
      </c>
      <c r="Y167" s="71" t="n">
        <f aca="false">X167+Y166</f>
        <v>120000</v>
      </c>
      <c r="Z167" s="71" t="n">
        <f aca="false">Y167+Z166</f>
        <v>120000</v>
      </c>
      <c r="AA167" s="71" t="n">
        <f aca="false">Z167+AA166</f>
        <v>120000</v>
      </c>
      <c r="AB167" s="71" t="n">
        <f aca="false">AA167+AB166</f>
        <v>120000</v>
      </c>
    </row>
    <row r="168" customFormat="false" ht="15" hidden="false" customHeight="false" outlineLevel="0" collapsed="false">
      <c r="A168" s="28" t="s">
        <v>928</v>
      </c>
      <c r="B168" s="58" t="s">
        <v>929</v>
      </c>
      <c r="C168" s="59" t="n">
        <f aca="false">P168</f>
        <v>0</v>
      </c>
      <c r="D168" s="59" t="n">
        <f aca="false">AB168</f>
        <v>0</v>
      </c>
      <c r="E168" s="71" t="n">
        <f aca="false">E163-E167</f>
        <v>0</v>
      </c>
      <c r="F168" s="71" t="n">
        <f aca="false">F163-F167</f>
        <v>0</v>
      </c>
      <c r="G168" s="71" t="n">
        <f aca="false">G163-G167</f>
        <v>0</v>
      </c>
      <c r="H168" s="71" t="n">
        <f aca="false">H163-H167</f>
        <v>0</v>
      </c>
      <c r="I168" s="71" t="n">
        <f aca="false">I163-I167</f>
        <v>0</v>
      </c>
      <c r="J168" s="71" t="n">
        <f aca="false">J163-J167</f>
        <v>0</v>
      </c>
      <c r="K168" s="71" t="n">
        <f aca="false">K163-K167</f>
        <v>0</v>
      </c>
      <c r="L168" s="71" t="n">
        <f aca="false">L163-L167</f>
        <v>0</v>
      </c>
      <c r="M168" s="71" t="n">
        <f aca="false">M163-M167</f>
        <v>-17250</v>
      </c>
      <c r="N168" s="71" t="n">
        <f aca="false">N163-N167</f>
        <v>24000</v>
      </c>
      <c r="O168" s="71" t="n">
        <f aca="false">O163-O167</f>
        <v>17250</v>
      </c>
      <c r="P168" s="71" t="n">
        <f aca="false">P163-P167</f>
        <v>0</v>
      </c>
      <c r="Q168" s="71" t="n">
        <f aca="false">Q163-Q167</f>
        <v>0</v>
      </c>
      <c r="R168" s="71" t="n">
        <f aca="false">R163-R167</f>
        <v>0</v>
      </c>
      <c r="S168" s="71" t="n">
        <f aca="false">S163-S167</f>
        <v>0</v>
      </c>
      <c r="T168" s="71" t="n">
        <f aca="false">T163-T167</f>
        <v>0</v>
      </c>
      <c r="U168" s="71" t="n">
        <f aca="false">U163-U167</f>
        <v>0</v>
      </c>
      <c r="V168" s="71" t="n">
        <f aca="false">V163-V167</f>
        <v>0</v>
      </c>
      <c r="W168" s="71" t="n">
        <f aca="false">W163-W167</f>
        <v>0</v>
      </c>
      <c r="X168" s="71" t="n">
        <f aca="false">X163-X167</f>
        <v>0</v>
      </c>
      <c r="Y168" s="71" t="n">
        <f aca="false">Y163-Y167</f>
        <v>0</v>
      </c>
      <c r="Z168" s="71" t="n">
        <f aca="false">Z163-Z167</f>
        <v>0</v>
      </c>
      <c r="AA168" s="71" t="n">
        <f aca="false">AA163-AA167</f>
        <v>0</v>
      </c>
      <c r="AB168" s="71" t="n">
        <f aca="false">AB163-AB167</f>
        <v>0</v>
      </c>
    </row>
    <row r="169" customFormat="false" ht="15" hidden="false" customHeight="false" outlineLevel="0" collapsed="false">
      <c r="A169" s="28" t="s">
        <v>941</v>
      </c>
      <c r="B169" s="58" t="s">
        <v>942</v>
      </c>
      <c r="C169" s="59" t="n">
        <f aca="false">SUM(E169:P169)</f>
        <v>30000</v>
      </c>
      <c r="D169" s="59" t="n">
        <f aca="false">SUM(Q169:AB169)</f>
        <v>0</v>
      </c>
      <c r="E169" s="60" t="n">
        <f aca="false">IF(E$5="A",0,IF(Project_Register!$AE$15&lt;=0,0,IF(1-Project_Register!$AC$15&lt;=0.000001,IF(Assumptions!E$99=Assumptions!$C$10+1,Project_Register!$AE$15,0),Project_Register!$AE$15*(E156-E157)/(1-Project_Register!$AC$15))))</f>
        <v>0</v>
      </c>
      <c r="F169" s="60" t="n">
        <f aca="false">IF(F$5="A",0,IF(Project_Register!$AE$15&lt;=0,0,IF(1-Project_Register!$AC$15&lt;=0.000001,IF(Assumptions!F$99=Assumptions!$C$10+1,Project_Register!$AE$15,0),Project_Register!$AE$15*(F156-F157)/(1-Project_Register!$AC$15))))</f>
        <v>0</v>
      </c>
      <c r="G169" s="60" t="n">
        <f aca="false">IF(G$5="A",0,IF(Project_Register!$AE$15&lt;=0,0,IF(1-Project_Register!$AC$15&lt;=0.000001,IF(Assumptions!G$99=Assumptions!$C$10+1,Project_Register!$AE$15,0),Project_Register!$AE$15*(G156-G157)/(1-Project_Register!$AC$15))))</f>
        <v>0</v>
      </c>
      <c r="H169" s="60" t="n">
        <f aca="false">IF(H$5="A",0,IF(Project_Register!$AE$15&lt;=0,0,IF(1-Project_Register!$AC$15&lt;=0.000001,IF(Assumptions!H$99=Assumptions!$C$10+1,Project_Register!$AE$15,0),Project_Register!$AE$15*(H156-H157)/(1-Project_Register!$AC$15))))</f>
        <v>0</v>
      </c>
      <c r="I169" s="60" t="n">
        <f aca="false">IF(I$5="A",0,IF(Project_Register!$AE$15&lt;=0,0,IF(1-Project_Register!$AC$15&lt;=0.000001,IF(Assumptions!I$99=Assumptions!$C$10+1,Project_Register!$AE$15,0),Project_Register!$AE$15*(I156-I157)/(1-Project_Register!$AC$15))))</f>
        <v>0</v>
      </c>
      <c r="J169" s="60" t="n">
        <f aca="false">IF(J$5="A",0,IF(Project_Register!$AE$15&lt;=0,0,IF(1-Project_Register!$AC$15&lt;=0.000001,IF(Assumptions!J$99=Assumptions!$C$10+1,Project_Register!$AE$15,0),Project_Register!$AE$15*(J156-J157)/(1-Project_Register!$AC$15))))</f>
        <v>0</v>
      </c>
      <c r="K169" s="60" t="n">
        <f aca="false">IF(K$5="A",0,IF(Project_Register!$AE$15&lt;=0,0,IF(1-Project_Register!$AC$15&lt;=0.000001,IF(Assumptions!K$99=Assumptions!$C$10+1,Project_Register!$AE$15,0),Project_Register!$AE$15*(K156-K157)/(1-Project_Register!$AC$15))))</f>
        <v>0</v>
      </c>
      <c r="L169" s="60" t="n">
        <f aca="false">IF(L$5="A",0,IF(Project_Register!$AE$15&lt;=0,0,IF(1-Project_Register!$AC$15&lt;=0.000001,IF(Assumptions!L$99=Assumptions!$C$10+1,Project_Register!$AE$15,0),Project_Register!$AE$15*(L156-L157)/(1-Project_Register!$AC$15))))</f>
        <v>0</v>
      </c>
      <c r="M169" s="60" t="n">
        <f aca="false">IF(M$5="A",0,IF(Project_Register!$AE$15&lt;=0,0,IF(1-Project_Register!$AC$15&lt;=0.000001,IF(Assumptions!M$99=Assumptions!$C$10+1,Project_Register!$AE$15,0),Project_Register!$AE$15*(M156-M157)/(1-Project_Register!$AC$15))))</f>
        <v>4687.5</v>
      </c>
      <c r="N169" s="60" t="n">
        <f aca="false">IF(N$5="A",0,IF(Project_Register!$AE$15&lt;=0,0,IF(1-Project_Register!$AC$15&lt;=0.000001,IF(Assumptions!N$99=Assumptions!$C$10+1,Project_Register!$AE$15,0),Project_Register!$AE$15*(N156-N157)/(1-Project_Register!$AC$15))))</f>
        <v>10312.5</v>
      </c>
      <c r="O169" s="60" t="n">
        <f aca="false">IF(O$5="A",0,IF(Project_Register!$AE$15&lt;=0,0,IF(1-Project_Register!$AC$15&lt;=0.000001,IF(Assumptions!O$99=Assumptions!$C$10+1,Project_Register!$AE$15,0),Project_Register!$AE$15*(O156-O157)/(1-Project_Register!$AC$15))))</f>
        <v>10312.5</v>
      </c>
      <c r="P169" s="60" t="n">
        <f aca="false">IF(P$5="A",0,IF(Project_Register!$AE$15&lt;=0,0,IF(1-Project_Register!$AC$15&lt;=0.000001,IF(Assumptions!P$99=Assumptions!$C$10+1,Project_Register!$AE$15,0),Project_Register!$AE$15*(P156-P157)/(1-Project_Register!$AC$15))))</f>
        <v>4687.5</v>
      </c>
      <c r="Q169" s="60" t="n">
        <f aca="false">IF(Q$5="A",0,IF(Project_Register!$AE$15&lt;=0,0,IF(1-Project_Register!$AC$15&lt;=0.000001,IF(Assumptions!Q$99=Assumptions!$C$10+1,Project_Register!$AE$15,0),Project_Register!$AE$15*(Q156-Q157)/(1-Project_Register!$AC$15))))</f>
        <v>0</v>
      </c>
      <c r="R169" s="60" t="n">
        <f aca="false">IF(R$5="A",0,IF(Project_Register!$AE$15&lt;=0,0,IF(1-Project_Register!$AC$15&lt;=0.000001,IF(Assumptions!R$99=Assumptions!$C$10+1,Project_Register!$AE$15,0),Project_Register!$AE$15*(R156-R157)/(1-Project_Register!$AC$15))))</f>
        <v>0</v>
      </c>
      <c r="S169" s="60" t="n">
        <f aca="false">IF(S$5="A",0,IF(Project_Register!$AE$15&lt;=0,0,IF(1-Project_Register!$AC$15&lt;=0.000001,IF(Assumptions!S$99=Assumptions!$C$10+1,Project_Register!$AE$15,0),Project_Register!$AE$15*(S156-S157)/(1-Project_Register!$AC$15))))</f>
        <v>0</v>
      </c>
      <c r="T169" s="60" t="n">
        <f aca="false">IF(T$5="A",0,IF(Project_Register!$AE$15&lt;=0,0,IF(1-Project_Register!$AC$15&lt;=0.000001,IF(Assumptions!T$99=Assumptions!$C$10+1,Project_Register!$AE$15,0),Project_Register!$AE$15*(T156-T157)/(1-Project_Register!$AC$15))))</f>
        <v>0</v>
      </c>
      <c r="U169" s="60" t="n">
        <f aca="false">IF(U$5="A",0,IF(Project_Register!$AE$15&lt;=0,0,IF(1-Project_Register!$AC$15&lt;=0.000001,IF(Assumptions!U$99=Assumptions!$C$10+1,Project_Register!$AE$15,0),Project_Register!$AE$15*(U156-U157)/(1-Project_Register!$AC$15))))</f>
        <v>0</v>
      </c>
      <c r="V169" s="60" t="n">
        <f aca="false">IF(V$5="A",0,IF(Project_Register!$AE$15&lt;=0,0,IF(1-Project_Register!$AC$15&lt;=0.000001,IF(Assumptions!V$99=Assumptions!$C$10+1,Project_Register!$AE$15,0),Project_Register!$AE$15*(V156-V157)/(1-Project_Register!$AC$15))))</f>
        <v>0</v>
      </c>
      <c r="W169" s="60" t="n">
        <f aca="false">IF(W$5="A",0,IF(Project_Register!$AE$15&lt;=0,0,IF(1-Project_Register!$AC$15&lt;=0.000001,IF(Assumptions!W$99=Assumptions!$C$10+1,Project_Register!$AE$15,0),Project_Register!$AE$15*(W156-W157)/(1-Project_Register!$AC$15))))</f>
        <v>0</v>
      </c>
      <c r="X169" s="60" t="n">
        <f aca="false">IF(X$5="A",0,IF(Project_Register!$AE$15&lt;=0,0,IF(1-Project_Register!$AC$15&lt;=0.000001,IF(Assumptions!X$99=Assumptions!$C$10+1,Project_Register!$AE$15,0),Project_Register!$AE$15*(X156-X157)/(1-Project_Register!$AC$15))))</f>
        <v>0</v>
      </c>
      <c r="Y169" s="60" t="n">
        <f aca="false">IF(Y$5="A",0,IF(Project_Register!$AE$15&lt;=0,0,IF(1-Project_Register!$AC$15&lt;=0.000001,IF(Assumptions!Y$99=Assumptions!$C$10+1,Project_Register!$AE$15,0),Project_Register!$AE$15*(Y156-Y157)/(1-Project_Register!$AC$15))))</f>
        <v>0</v>
      </c>
      <c r="Z169" s="60" t="n">
        <f aca="false">IF(Z$5="A",0,IF(Project_Register!$AE$15&lt;=0,0,IF(1-Project_Register!$AC$15&lt;=0.000001,IF(Assumptions!Z$99=Assumptions!$C$10+1,Project_Register!$AE$15,0),Project_Register!$AE$15*(Z156-Z157)/(1-Project_Register!$AC$15))))</f>
        <v>0</v>
      </c>
      <c r="AA169" s="60" t="n">
        <f aca="false">IF(AA$5="A",0,IF(Project_Register!$AE$15&lt;=0,0,IF(1-Project_Register!$AC$15&lt;=0.000001,IF(Assumptions!AA$99=Assumptions!$C$10+1,Project_Register!$AE$15,0),Project_Register!$AE$15*(AA156-AA157)/(1-Project_Register!$AC$15))))</f>
        <v>0</v>
      </c>
      <c r="AB169" s="60" t="n">
        <f aca="false">IF(AB$5="A",0,IF(Project_Register!$AE$15&lt;=0,0,IF(1-Project_Register!$AC$15&lt;=0.000001,IF(Assumptions!AB$99=Assumptions!$C$10+1,Project_Register!$AE$15,0),Project_Register!$AE$15*(AB156-AB157)/(1-Project_Register!$AC$15))))</f>
        <v>0</v>
      </c>
    </row>
    <row r="170" customFormat="false" ht="15" hidden="false" customHeight="false" outlineLevel="0" collapsed="false">
      <c r="A170" s="28" t="s">
        <v>947</v>
      </c>
      <c r="B170" s="58" t="s">
        <v>944</v>
      </c>
      <c r="C170" s="59" t="n">
        <f aca="false">SUM(E170:P170)</f>
        <v>38962.56</v>
      </c>
      <c r="D170" s="59" t="n">
        <f aca="false">SUM(Q170:AB170)</f>
        <v>0</v>
      </c>
      <c r="E170" s="60" t="n">
        <f aca="false">E169*(1+Project_Register!$K$15)*FX!E11</f>
        <v>0</v>
      </c>
      <c r="F170" s="60" t="n">
        <f aca="false">F169*(1+Project_Register!$K$15)*FX!F11</f>
        <v>0</v>
      </c>
      <c r="G170" s="60" t="n">
        <f aca="false">G169*(1+Project_Register!$K$15)*FX!G11</f>
        <v>0</v>
      </c>
      <c r="H170" s="60" t="n">
        <f aca="false">H169*(1+Project_Register!$K$15)*FX!H11</f>
        <v>0</v>
      </c>
      <c r="I170" s="60" t="n">
        <f aca="false">I169*(1+Project_Register!$K$15)*FX!I11</f>
        <v>0</v>
      </c>
      <c r="J170" s="60" t="n">
        <f aca="false">J169*(1+Project_Register!$K$15)*FX!J11</f>
        <v>0</v>
      </c>
      <c r="K170" s="60" t="n">
        <f aca="false">K169*(1+Project_Register!$K$15)*FX!K11</f>
        <v>0</v>
      </c>
      <c r="L170" s="60" t="n">
        <f aca="false">L169*(1+Project_Register!$K$15)*FX!L11</f>
        <v>0</v>
      </c>
      <c r="M170" s="60" t="n">
        <f aca="false">M169*(1+Project_Register!$K$15)*FX!M11</f>
        <v>6087.9</v>
      </c>
      <c r="N170" s="60" t="n">
        <f aca="false">N169*(1+Project_Register!$K$15)*FX!N11</f>
        <v>13393.38</v>
      </c>
      <c r="O170" s="60" t="n">
        <f aca="false">O169*(1+Project_Register!$K$15)*FX!O11</f>
        <v>13393.38</v>
      </c>
      <c r="P170" s="60" t="n">
        <f aca="false">P169*(1+Project_Register!$K$15)*FX!P11</f>
        <v>6087.9</v>
      </c>
      <c r="Q170" s="60" t="n">
        <f aca="false">Q169*(1+Project_Register!$K$15)*FX!Q11</f>
        <v>0</v>
      </c>
      <c r="R170" s="60" t="n">
        <f aca="false">R169*(1+Project_Register!$K$15)*FX!R11</f>
        <v>0</v>
      </c>
      <c r="S170" s="60" t="n">
        <f aca="false">S169*(1+Project_Register!$K$15)*FX!S11</f>
        <v>0</v>
      </c>
      <c r="T170" s="60" t="n">
        <f aca="false">T169*(1+Project_Register!$K$15)*FX!T11</f>
        <v>0</v>
      </c>
      <c r="U170" s="60" t="n">
        <f aca="false">U169*(1+Project_Register!$K$15)*FX!U11</f>
        <v>0</v>
      </c>
      <c r="V170" s="60" t="n">
        <f aca="false">V169*(1+Project_Register!$K$15)*FX!V11</f>
        <v>0</v>
      </c>
      <c r="W170" s="60" t="n">
        <f aca="false">W169*(1+Project_Register!$K$15)*FX!W11</f>
        <v>0</v>
      </c>
      <c r="X170" s="60" t="n">
        <f aca="false">X169*(1+Project_Register!$K$15)*FX!X11</f>
        <v>0</v>
      </c>
      <c r="Y170" s="60" t="n">
        <f aca="false">Y169*(1+Project_Register!$K$15)*FX!Y11</f>
        <v>0</v>
      </c>
      <c r="Z170" s="60" t="n">
        <f aca="false">Z169*(1+Project_Register!$K$15)*FX!Z11</f>
        <v>0</v>
      </c>
      <c r="AA170" s="60" t="n">
        <f aca="false">AA169*(1+Project_Register!$K$15)*FX!AA11</f>
        <v>0</v>
      </c>
      <c r="AB170" s="60" t="n">
        <f aca="false">AB169*(1+Project_Register!$K$15)*FX!AB11</f>
        <v>0</v>
      </c>
    </row>
    <row r="171" customFormat="false" ht="15" hidden="false" customHeight="false" outlineLevel="0" collapsed="false">
      <c r="A171" s="28" t="s">
        <v>930</v>
      </c>
      <c r="B171" s="58"/>
      <c r="C171" s="59" t="n">
        <f aca="false">P171</f>
        <v>0</v>
      </c>
      <c r="D171" s="59" t="n">
        <f aca="false">AB171</f>
        <v>0</v>
      </c>
      <c r="E171" s="71" t="n">
        <f aca="false">MAX(0,E162-E163)</f>
        <v>0</v>
      </c>
      <c r="F171" s="71" t="n">
        <f aca="false">MAX(0,F162-F163)</f>
        <v>0</v>
      </c>
      <c r="G171" s="71" t="n">
        <f aca="false">MAX(0,G162-G163)</f>
        <v>0</v>
      </c>
      <c r="H171" s="71" t="n">
        <f aca="false">MAX(0,H162-H163)</f>
        <v>0</v>
      </c>
      <c r="I171" s="71" t="n">
        <f aca="false">MAX(0,I162-I163)</f>
        <v>0</v>
      </c>
      <c r="J171" s="71" t="n">
        <f aca="false">MAX(0,J162-J163)</f>
        <v>0</v>
      </c>
      <c r="K171" s="71" t="n">
        <f aca="false">MAX(0,K162-K163)</f>
        <v>0</v>
      </c>
      <c r="L171" s="71" t="n">
        <f aca="false">MAX(0,L162-L163)</f>
        <v>0</v>
      </c>
      <c r="M171" s="71" t="n">
        <f aca="false">MAX(0,M162-M163)</f>
        <v>101250</v>
      </c>
      <c r="N171" s="71" t="n">
        <f aca="false">MAX(0,N162-N163)</f>
        <v>60000</v>
      </c>
      <c r="O171" s="71" t="n">
        <f aca="false">MAX(0,O162-O163)</f>
        <v>18750</v>
      </c>
      <c r="P171" s="71" t="n">
        <f aca="false">MAX(0,P162-P163)</f>
        <v>0</v>
      </c>
      <c r="Q171" s="71" t="n">
        <f aca="false">MAX(0,Q162-Q163)</f>
        <v>0</v>
      </c>
      <c r="R171" s="71" t="n">
        <f aca="false">MAX(0,R162-R163)</f>
        <v>0</v>
      </c>
      <c r="S171" s="71" t="n">
        <f aca="false">MAX(0,S162-S163)</f>
        <v>0</v>
      </c>
      <c r="T171" s="71" t="n">
        <f aca="false">MAX(0,T162-T163)</f>
        <v>0</v>
      </c>
      <c r="U171" s="71" t="n">
        <f aca="false">MAX(0,U162-U163)</f>
        <v>0</v>
      </c>
      <c r="V171" s="71" t="n">
        <f aca="false">MAX(0,V162-V163)</f>
        <v>0</v>
      </c>
      <c r="W171" s="71" t="n">
        <f aca="false">MAX(0,W162-W163)</f>
        <v>0</v>
      </c>
      <c r="X171" s="71" t="n">
        <f aca="false">MAX(0,X162-X163)</f>
        <v>0</v>
      </c>
      <c r="Y171" s="71" t="n">
        <f aca="false">MAX(0,Y162-Y163)</f>
        <v>0</v>
      </c>
      <c r="Z171" s="71" t="n">
        <f aca="false">MAX(0,Z162-Z163)</f>
        <v>0</v>
      </c>
      <c r="AA171" s="71" t="n">
        <f aca="false">MAX(0,AA162-AA163)</f>
        <v>0</v>
      </c>
      <c r="AB171" s="71" t="n">
        <f aca="false">MAX(0,AB162-AB163)</f>
        <v>0</v>
      </c>
    </row>
    <row r="173" customFormat="false" ht="15" hidden="false" customHeight="false" outlineLevel="0" collapsed="false">
      <c r="A173" s="22" t="s">
        <v>948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row>
    <row r="174" customFormat="false" ht="15" hidden="false" customHeight="false" outlineLevel="0" collapsed="false">
      <c r="A174" s="28" t="s">
        <v>905</v>
      </c>
      <c r="B174" s="58" t="s">
        <v>906</v>
      </c>
      <c r="E174" s="112" t="n">
        <f aca="false">MIN(1,MAX(0,(Assumptions!E$99-Project_Register!$T$16+1)/(Project_Register!$U$16-Project_Register!$T$16+1)))</f>
        <v>0</v>
      </c>
      <c r="F174" s="112" t="n">
        <f aca="false">MIN(1,MAX(0,(Assumptions!F$99-Project_Register!$T$16+1)/(Project_Register!$U$16-Project_Register!$T$16+1)))</f>
        <v>0</v>
      </c>
      <c r="G174" s="112" t="n">
        <f aca="false">MIN(1,MAX(0,(Assumptions!G$99-Project_Register!$T$16+1)/(Project_Register!$U$16-Project_Register!$T$16+1)))</f>
        <v>0</v>
      </c>
      <c r="H174" s="112" t="n">
        <f aca="false">MIN(1,MAX(0,(Assumptions!H$99-Project_Register!$T$16+1)/(Project_Register!$U$16-Project_Register!$T$16+1)))</f>
        <v>0</v>
      </c>
      <c r="I174" s="112" t="n">
        <f aca="false">MIN(1,MAX(0,(Assumptions!I$99-Project_Register!$T$16+1)/(Project_Register!$U$16-Project_Register!$T$16+1)))</f>
        <v>0</v>
      </c>
      <c r="J174" s="112" t="n">
        <f aca="false">MIN(1,MAX(0,(Assumptions!J$99-Project_Register!$T$16+1)/(Project_Register!$U$16-Project_Register!$T$16+1)))</f>
        <v>0</v>
      </c>
      <c r="K174" s="112" t="n">
        <f aca="false">MIN(1,MAX(0,(Assumptions!K$99-Project_Register!$T$16+1)/(Project_Register!$U$16-Project_Register!$T$16+1)))</f>
        <v>0</v>
      </c>
      <c r="L174" s="112" t="n">
        <f aca="false">MIN(1,MAX(0,(Assumptions!L$99-Project_Register!$T$16+1)/(Project_Register!$U$16-Project_Register!$T$16+1)))</f>
        <v>0</v>
      </c>
      <c r="M174" s="112" t="n">
        <f aca="false">MIN(1,MAX(0,(Assumptions!M$99-Project_Register!$T$16+1)/(Project_Register!$U$16-Project_Register!$T$16+1)))</f>
        <v>0</v>
      </c>
      <c r="N174" s="112" t="n">
        <f aca="false">MIN(1,MAX(0,(Assumptions!N$99-Project_Register!$T$16+1)/(Project_Register!$U$16-Project_Register!$T$16+1)))</f>
        <v>0</v>
      </c>
      <c r="O174" s="112" t="n">
        <f aca="false">MIN(1,MAX(0,(Assumptions!O$99-Project_Register!$T$16+1)/(Project_Register!$U$16-Project_Register!$T$16+1)))</f>
        <v>0</v>
      </c>
      <c r="P174" s="112" t="n">
        <f aca="false">MIN(1,MAX(0,(Assumptions!P$99-Project_Register!$T$16+1)/(Project_Register!$U$16-Project_Register!$T$16+1)))</f>
        <v>0</v>
      </c>
      <c r="Q174" s="112" t="n">
        <f aca="false">MIN(1,MAX(0,(Assumptions!Q$99-Project_Register!$T$16+1)/(Project_Register!$U$16-Project_Register!$T$16+1)))</f>
        <v>0</v>
      </c>
      <c r="R174" s="112" t="n">
        <f aca="false">MIN(1,MAX(0,(Assumptions!R$99-Project_Register!$T$16+1)/(Project_Register!$U$16-Project_Register!$T$16+1)))</f>
        <v>0.142857142857143</v>
      </c>
      <c r="S174" s="112" t="n">
        <f aca="false">MIN(1,MAX(0,(Assumptions!S$99-Project_Register!$T$16+1)/(Project_Register!$U$16-Project_Register!$T$16+1)))</f>
        <v>0.285714285714286</v>
      </c>
      <c r="T174" s="112" t="n">
        <f aca="false">MIN(1,MAX(0,(Assumptions!T$99-Project_Register!$T$16+1)/(Project_Register!$U$16-Project_Register!$T$16+1)))</f>
        <v>0.428571428571429</v>
      </c>
      <c r="U174" s="112" t="n">
        <f aca="false">MIN(1,MAX(0,(Assumptions!U$99-Project_Register!$T$16+1)/(Project_Register!$U$16-Project_Register!$T$16+1)))</f>
        <v>0.571428571428571</v>
      </c>
      <c r="V174" s="112" t="n">
        <f aca="false">MIN(1,MAX(0,(Assumptions!V$99-Project_Register!$T$16+1)/(Project_Register!$U$16-Project_Register!$T$16+1)))</f>
        <v>0.714285714285714</v>
      </c>
      <c r="W174" s="112" t="n">
        <f aca="false">MIN(1,MAX(0,(Assumptions!W$99-Project_Register!$T$16+1)/(Project_Register!$U$16-Project_Register!$T$16+1)))</f>
        <v>0.857142857142857</v>
      </c>
      <c r="X174" s="112" t="n">
        <f aca="false">MIN(1,MAX(0,(Assumptions!X$99-Project_Register!$T$16+1)/(Project_Register!$U$16-Project_Register!$T$16+1)))</f>
        <v>1</v>
      </c>
      <c r="Y174" s="112" t="n">
        <f aca="false">MIN(1,MAX(0,(Assumptions!Y$99-Project_Register!$T$16+1)/(Project_Register!$U$16-Project_Register!$T$16+1)))</f>
        <v>1</v>
      </c>
      <c r="Z174" s="112" t="n">
        <f aca="false">MIN(1,MAX(0,(Assumptions!Z$99-Project_Register!$T$16+1)/(Project_Register!$U$16-Project_Register!$T$16+1)))</f>
        <v>1</v>
      </c>
      <c r="AA174" s="112" t="n">
        <f aca="false">MIN(1,MAX(0,(Assumptions!AA$99-Project_Register!$T$16+1)/(Project_Register!$U$16-Project_Register!$T$16+1)))</f>
        <v>1</v>
      </c>
      <c r="AB174" s="112" t="n">
        <f aca="false">MIN(1,MAX(0,(Assumptions!AB$99-Project_Register!$T$16+1)/(Project_Register!$U$16-Project_Register!$T$16+1)))</f>
        <v>1</v>
      </c>
    </row>
    <row r="175" customFormat="false" ht="15" hidden="false" customHeight="false" outlineLevel="0" collapsed="false">
      <c r="A175" s="28" t="s">
        <v>907</v>
      </c>
      <c r="B175" s="58" t="s">
        <v>908</v>
      </c>
      <c r="E175" s="113" t="n">
        <f aca="false">3*E174^2-2*E174^3</f>
        <v>0</v>
      </c>
      <c r="F175" s="113" t="n">
        <f aca="false">3*F174^2-2*F174^3</f>
        <v>0</v>
      </c>
      <c r="G175" s="113" t="n">
        <f aca="false">3*G174^2-2*G174^3</f>
        <v>0</v>
      </c>
      <c r="H175" s="113" t="n">
        <f aca="false">3*H174^2-2*H174^3</f>
        <v>0</v>
      </c>
      <c r="I175" s="113" t="n">
        <f aca="false">3*I174^2-2*I174^3</f>
        <v>0</v>
      </c>
      <c r="J175" s="113" t="n">
        <f aca="false">3*J174^2-2*J174^3</f>
        <v>0</v>
      </c>
      <c r="K175" s="113" t="n">
        <f aca="false">3*K174^2-2*K174^3</f>
        <v>0</v>
      </c>
      <c r="L175" s="113" t="n">
        <f aca="false">3*L174^2-2*L174^3</f>
        <v>0</v>
      </c>
      <c r="M175" s="113" t="n">
        <f aca="false">3*M174^2-2*M174^3</f>
        <v>0</v>
      </c>
      <c r="N175" s="113" t="n">
        <f aca="false">3*N174^2-2*N174^3</f>
        <v>0</v>
      </c>
      <c r="O175" s="113" t="n">
        <f aca="false">3*O174^2-2*O174^3</f>
        <v>0</v>
      </c>
      <c r="P175" s="113" t="n">
        <f aca="false">3*P174^2-2*P174^3</f>
        <v>0</v>
      </c>
      <c r="Q175" s="113" t="n">
        <f aca="false">3*Q174^2-2*Q174^3</f>
        <v>0</v>
      </c>
      <c r="R175" s="113" t="n">
        <f aca="false">3*R174^2-2*R174^3</f>
        <v>0.0553935860058309</v>
      </c>
      <c r="S175" s="113" t="n">
        <f aca="false">3*S174^2-2*S174^3</f>
        <v>0.198250728862974</v>
      </c>
      <c r="T175" s="113" t="n">
        <f aca="false">3*T174^2-2*T174^3</f>
        <v>0.393586005830904</v>
      </c>
      <c r="U175" s="113" t="n">
        <f aca="false">3*U174^2-2*U174^3</f>
        <v>0.606413994169096</v>
      </c>
      <c r="V175" s="113" t="n">
        <f aca="false">3*V174^2-2*V174^3</f>
        <v>0.801749271137026</v>
      </c>
      <c r="W175" s="113" t="n">
        <f aca="false">3*W174^2-2*W174^3</f>
        <v>0.944606413994169</v>
      </c>
      <c r="X175" s="113" t="n">
        <f aca="false">3*X174^2-2*X174^3</f>
        <v>1</v>
      </c>
      <c r="Y175" s="113" t="n">
        <f aca="false">3*Y174^2-2*Y174^3</f>
        <v>1</v>
      </c>
      <c r="Z175" s="113" t="n">
        <f aca="false">3*Z174^2-2*Z174^3</f>
        <v>1</v>
      </c>
      <c r="AA175" s="113" t="n">
        <f aca="false">3*AA174^2-2*AA174^3</f>
        <v>1</v>
      </c>
      <c r="AB175" s="113" t="n">
        <f aca="false">3*AB174^2-2*AB174^3</f>
        <v>1</v>
      </c>
    </row>
    <row r="176" customFormat="false" ht="15" hidden="false" customHeight="false" outlineLevel="0" collapsed="false">
      <c r="A176" s="28" t="s">
        <v>909</v>
      </c>
      <c r="B176" s="58"/>
      <c r="E176" s="112" t="n">
        <f aca="false">3*MIN(1,MAX(0,(Assumptions!E$99-Project_Register!$T$16)/(Project_Register!$U$16-Project_Register!$T$16+1)))^2-2*MIN(1,MAX(0,(Assumptions!E$99-Project_Register!$T$16)/(Project_Register!$U$16-Project_Register!$T$16+1)))^3</f>
        <v>0</v>
      </c>
      <c r="F176" s="112" t="n">
        <f aca="false">3*MIN(1,MAX(0,(Assumptions!F$99-Project_Register!$T$16)/(Project_Register!$U$16-Project_Register!$T$16+1)))^2-2*MIN(1,MAX(0,(Assumptions!F$99-Project_Register!$T$16)/(Project_Register!$U$16-Project_Register!$T$16+1)))^3</f>
        <v>0</v>
      </c>
      <c r="G176" s="112" t="n">
        <f aca="false">3*MIN(1,MAX(0,(Assumptions!G$99-Project_Register!$T$16)/(Project_Register!$U$16-Project_Register!$T$16+1)))^2-2*MIN(1,MAX(0,(Assumptions!G$99-Project_Register!$T$16)/(Project_Register!$U$16-Project_Register!$T$16+1)))^3</f>
        <v>0</v>
      </c>
      <c r="H176" s="112" t="n">
        <f aca="false">3*MIN(1,MAX(0,(Assumptions!H$99-Project_Register!$T$16)/(Project_Register!$U$16-Project_Register!$T$16+1)))^2-2*MIN(1,MAX(0,(Assumptions!H$99-Project_Register!$T$16)/(Project_Register!$U$16-Project_Register!$T$16+1)))^3</f>
        <v>0</v>
      </c>
      <c r="I176" s="112" t="n">
        <f aca="false">3*MIN(1,MAX(0,(Assumptions!I$99-Project_Register!$T$16)/(Project_Register!$U$16-Project_Register!$T$16+1)))^2-2*MIN(1,MAX(0,(Assumptions!I$99-Project_Register!$T$16)/(Project_Register!$U$16-Project_Register!$T$16+1)))^3</f>
        <v>0</v>
      </c>
      <c r="J176" s="112" t="n">
        <f aca="false">3*MIN(1,MAX(0,(Assumptions!J$99-Project_Register!$T$16)/(Project_Register!$U$16-Project_Register!$T$16+1)))^2-2*MIN(1,MAX(0,(Assumptions!J$99-Project_Register!$T$16)/(Project_Register!$U$16-Project_Register!$T$16+1)))^3</f>
        <v>0</v>
      </c>
      <c r="K176" s="112" t="n">
        <f aca="false">3*MIN(1,MAX(0,(Assumptions!K$99-Project_Register!$T$16)/(Project_Register!$U$16-Project_Register!$T$16+1)))^2-2*MIN(1,MAX(0,(Assumptions!K$99-Project_Register!$T$16)/(Project_Register!$U$16-Project_Register!$T$16+1)))^3</f>
        <v>0</v>
      </c>
      <c r="L176" s="112" t="n">
        <f aca="false">3*MIN(1,MAX(0,(Assumptions!L$99-Project_Register!$T$16)/(Project_Register!$U$16-Project_Register!$T$16+1)))^2-2*MIN(1,MAX(0,(Assumptions!L$99-Project_Register!$T$16)/(Project_Register!$U$16-Project_Register!$T$16+1)))^3</f>
        <v>0</v>
      </c>
      <c r="M176" s="112" t="n">
        <f aca="false">3*MIN(1,MAX(0,(Assumptions!M$99-Project_Register!$T$16)/(Project_Register!$U$16-Project_Register!$T$16+1)))^2-2*MIN(1,MAX(0,(Assumptions!M$99-Project_Register!$T$16)/(Project_Register!$U$16-Project_Register!$T$16+1)))^3</f>
        <v>0</v>
      </c>
      <c r="N176" s="112" t="n">
        <f aca="false">3*MIN(1,MAX(0,(Assumptions!N$99-Project_Register!$T$16)/(Project_Register!$U$16-Project_Register!$T$16+1)))^2-2*MIN(1,MAX(0,(Assumptions!N$99-Project_Register!$T$16)/(Project_Register!$U$16-Project_Register!$T$16+1)))^3</f>
        <v>0</v>
      </c>
      <c r="O176" s="112" t="n">
        <f aca="false">3*MIN(1,MAX(0,(Assumptions!O$99-Project_Register!$T$16)/(Project_Register!$U$16-Project_Register!$T$16+1)))^2-2*MIN(1,MAX(0,(Assumptions!O$99-Project_Register!$T$16)/(Project_Register!$U$16-Project_Register!$T$16+1)))^3</f>
        <v>0</v>
      </c>
      <c r="P176" s="112" t="n">
        <f aca="false">3*MIN(1,MAX(0,(Assumptions!P$99-Project_Register!$T$16)/(Project_Register!$U$16-Project_Register!$T$16+1)))^2-2*MIN(1,MAX(0,(Assumptions!P$99-Project_Register!$T$16)/(Project_Register!$U$16-Project_Register!$T$16+1)))^3</f>
        <v>0</v>
      </c>
      <c r="Q176" s="112" t="n">
        <f aca="false">3*MIN(1,MAX(0,(Assumptions!Q$99-Project_Register!$T$16)/(Project_Register!$U$16-Project_Register!$T$16+1)))^2-2*MIN(1,MAX(0,(Assumptions!Q$99-Project_Register!$T$16)/(Project_Register!$U$16-Project_Register!$T$16+1)))^3</f>
        <v>0</v>
      </c>
      <c r="R176" s="112" t="n">
        <f aca="false">3*MIN(1,MAX(0,(Assumptions!R$99-Project_Register!$T$16)/(Project_Register!$U$16-Project_Register!$T$16+1)))^2-2*MIN(1,MAX(0,(Assumptions!R$99-Project_Register!$T$16)/(Project_Register!$U$16-Project_Register!$T$16+1)))^3</f>
        <v>0</v>
      </c>
      <c r="S176" s="112" t="n">
        <f aca="false">3*MIN(1,MAX(0,(Assumptions!S$99-Project_Register!$T$16)/(Project_Register!$U$16-Project_Register!$T$16+1)))^2-2*MIN(1,MAX(0,(Assumptions!S$99-Project_Register!$T$16)/(Project_Register!$U$16-Project_Register!$T$16+1)))^3</f>
        <v>0.0553935860058309</v>
      </c>
      <c r="T176" s="112" t="n">
        <f aca="false">3*MIN(1,MAX(0,(Assumptions!T$99-Project_Register!$T$16)/(Project_Register!$U$16-Project_Register!$T$16+1)))^2-2*MIN(1,MAX(0,(Assumptions!T$99-Project_Register!$T$16)/(Project_Register!$U$16-Project_Register!$T$16+1)))^3</f>
        <v>0.198250728862974</v>
      </c>
      <c r="U176" s="112" t="n">
        <f aca="false">3*MIN(1,MAX(0,(Assumptions!U$99-Project_Register!$T$16)/(Project_Register!$U$16-Project_Register!$T$16+1)))^2-2*MIN(1,MAX(0,(Assumptions!U$99-Project_Register!$T$16)/(Project_Register!$U$16-Project_Register!$T$16+1)))^3</f>
        <v>0.393586005830904</v>
      </c>
      <c r="V176" s="112" t="n">
        <f aca="false">3*MIN(1,MAX(0,(Assumptions!V$99-Project_Register!$T$16)/(Project_Register!$U$16-Project_Register!$T$16+1)))^2-2*MIN(1,MAX(0,(Assumptions!V$99-Project_Register!$T$16)/(Project_Register!$U$16-Project_Register!$T$16+1)))^3</f>
        <v>0.606413994169096</v>
      </c>
      <c r="W176" s="112" t="n">
        <f aca="false">3*MIN(1,MAX(0,(Assumptions!W$99-Project_Register!$T$16)/(Project_Register!$U$16-Project_Register!$T$16+1)))^2-2*MIN(1,MAX(0,(Assumptions!W$99-Project_Register!$T$16)/(Project_Register!$U$16-Project_Register!$T$16+1)))^3</f>
        <v>0.801749271137026</v>
      </c>
      <c r="X176" s="112" t="n">
        <f aca="false">3*MIN(1,MAX(0,(Assumptions!X$99-Project_Register!$T$16)/(Project_Register!$U$16-Project_Register!$T$16+1)))^2-2*MIN(1,MAX(0,(Assumptions!X$99-Project_Register!$T$16)/(Project_Register!$U$16-Project_Register!$T$16+1)))^3</f>
        <v>0.944606413994169</v>
      </c>
      <c r="Y176" s="112" t="n">
        <f aca="false">3*MIN(1,MAX(0,(Assumptions!Y$99-Project_Register!$T$16)/(Project_Register!$U$16-Project_Register!$T$16+1)))^2-2*MIN(1,MAX(0,(Assumptions!Y$99-Project_Register!$T$16)/(Project_Register!$U$16-Project_Register!$T$16+1)))^3</f>
        <v>1</v>
      </c>
      <c r="Z176" s="112" t="n">
        <f aca="false">3*MIN(1,MAX(0,(Assumptions!Z$99-Project_Register!$T$16)/(Project_Register!$U$16-Project_Register!$T$16+1)))^2-2*MIN(1,MAX(0,(Assumptions!Z$99-Project_Register!$T$16)/(Project_Register!$U$16-Project_Register!$T$16+1)))^3</f>
        <v>1</v>
      </c>
      <c r="AA176" s="112" t="n">
        <f aca="false">3*MIN(1,MAX(0,(Assumptions!AA$99-Project_Register!$T$16)/(Project_Register!$U$16-Project_Register!$T$16+1)))^2-2*MIN(1,MAX(0,(Assumptions!AA$99-Project_Register!$T$16)/(Project_Register!$U$16-Project_Register!$T$16+1)))^3</f>
        <v>1</v>
      </c>
      <c r="AB176" s="112" t="n">
        <f aca="false">3*MIN(1,MAX(0,(Assumptions!AB$99-Project_Register!$T$16)/(Project_Register!$U$16-Project_Register!$T$16+1)))^2-2*MIN(1,MAX(0,(Assumptions!AB$99-Project_Register!$T$16)/(Project_Register!$U$16-Project_Register!$T$16+1)))^3</f>
        <v>1</v>
      </c>
    </row>
    <row r="177" customFormat="false" ht="15" hidden="false" customHeight="false" outlineLevel="0" collapsed="false">
      <c r="A177" s="28" t="s">
        <v>802</v>
      </c>
      <c r="B177" s="58" t="s">
        <v>910</v>
      </c>
      <c r="C177" s="66" t="n">
        <f aca="false">SUM(E177:P177)</f>
        <v>0</v>
      </c>
      <c r="D177" s="66" t="n">
        <f aca="false">SUM(Q177:AB177)</f>
        <v>920</v>
      </c>
      <c r="E177" s="67" t="n">
        <f aca="false">IF(E$5="A",0,IF((Project_Register!$AA$16-Project_Register!$X$16)&lt;=0,0,IF(1-Project_Register!$AC$16&lt;=0.000001,IF(Assumptions!E$99=Assumptions!$C$10+1,(Project_Register!$AA$16-Project_Register!$X$16),0),(Project_Register!$AA$16-Project_Register!$X$16)*(E175-E176)/(1-Project_Register!$AC$16))))</f>
        <v>0</v>
      </c>
      <c r="F177" s="67" t="n">
        <f aca="false">IF(F$5="A",0,IF((Project_Register!$AA$16-Project_Register!$X$16)&lt;=0,0,IF(1-Project_Register!$AC$16&lt;=0.000001,IF(Assumptions!F$99=Assumptions!$C$10+1,(Project_Register!$AA$16-Project_Register!$X$16),0),(Project_Register!$AA$16-Project_Register!$X$16)*(F175-F176)/(1-Project_Register!$AC$16))))</f>
        <v>0</v>
      </c>
      <c r="G177" s="67" t="n">
        <f aca="false">IF(G$5="A",0,IF((Project_Register!$AA$16-Project_Register!$X$16)&lt;=0,0,IF(1-Project_Register!$AC$16&lt;=0.000001,IF(Assumptions!G$99=Assumptions!$C$10+1,(Project_Register!$AA$16-Project_Register!$X$16),0),(Project_Register!$AA$16-Project_Register!$X$16)*(G175-G176)/(1-Project_Register!$AC$16))))</f>
        <v>0</v>
      </c>
      <c r="H177" s="67" t="n">
        <f aca="false">IF(H$5="A",0,IF((Project_Register!$AA$16-Project_Register!$X$16)&lt;=0,0,IF(1-Project_Register!$AC$16&lt;=0.000001,IF(Assumptions!H$99=Assumptions!$C$10+1,(Project_Register!$AA$16-Project_Register!$X$16),0),(Project_Register!$AA$16-Project_Register!$X$16)*(H175-H176)/(1-Project_Register!$AC$16))))</f>
        <v>0</v>
      </c>
      <c r="I177" s="67" t="n">
        <f aca="false">IF(I$5="A",0,IF((Project_Register!$AA$16-Project_Register!$X$16)&lt;=0,0,IF(1-Project_Register!$AC$16&lt;=0.000001,IF(Assumptions!I$99=Assumptions!$C$10+1,(Project_Register!$AA$16-Project_Register!$X$16),0),(Project_Register!$AA$16-Project_Register!$X$16)*(I175-I176)/(1-Project_Register!$AC$16))))</f>
        <v>0</v>
      </c>
      <c r="J177" s="67" t="n">
        <f aca="false">IF(J$5="A",0,IF((Project_Register!$AA$16-Project_Register!$X$16)&lt;=0,0,IF(1-Project_Register!$AC$16&lt;=0.000001,IF(Assumptions!J$99=Assumptions!$C$10+1,(Project_Register!$AA$16-Project_Register!$X$16),0),(Project_Register!$AA$16-Project_Register!$X$16)*(J175-J176)/(1-Project_Register!$AC$16))))</f>
        <v>0</v>
      </c>
      <c r="K177" s="67" t="n">
        <f aca="false">IF(K$5="A",0,IF((Project_Register!$AA$16-Project_Register!$X$16)&lt;=0,0,IF(1-Project_Register!$AC$16&lt;=0.000001,IF(Assumptions!K$99=Assumptions!$C$10+1,(Project_Register!$AA$16-Project_Register!$X$16),0),(Project_Register!$AA$16-Project_Register!$X$16)*(K175-K176)/(1-Project_Register!$AC$16))))</f>
        <v>0</v>
      </c>
      <c r="L177" s="67" t="n">
        <f aca="false">IF(L$5="A",0,IF((Project_Register!$AA$16-Project_Register!$X$16)&lt;=0,0,IF(1-Project_Register!$AC$16&lt;=0.000001,IF(Assumptions!L$99=Assumptions!$C$10+1,(Project_Register!$AA$16-Project_Register!$X$16),0),(Project_Register!$AA$16-Project_Register!$X$16)*(L175-L176)/(1-Project_Register!$AC$16))))</f>
        <v>0</v>
      </c>
      <c r="M177" s="67" t="n">
        <f aca="false">IF(M$5="A",0,IF((Project_Register!$AA$16-Project_Register!$X$16)&lt;=0,0,IF(1-Project_Register!$AC$16&lt;=0.000001,IF(Assumptions!M$99=Assumptions!$C$10+1,(Project_Register!$AA$16-Project_Register!$X$16),0),(Project_Register!$AA$16-Project_Register!$X$16)*(M175-M176)/(1-Project_Register!$AC$16))))</f>
        <v>0</v>
      </c>
      <c r="N177" s="67" t="n">
        <f aca="false">IF(N$5="A",0,IF((Project_Register!$AA$16-Project_Register!$X$16)&lt;=0,0,IF(1-Project_Register!$AC$16&lt;=0.000001,IF(Assumptions!N$99=Assumptions!$C$10+1,(Project_Register!$AA$16-Project_Register!$X$16),0),(Project_Register!$AA$16-Project_Register!$X$16)*(N175-N176)/(1-Project_Register!$AC$16))))</f>
        <v>0</v>
      </c>
      <c r="O177" s="67" t="n">
        <f aca="false">IF(O$5="A",0,IF((Project_Register!$AA$16-Project_Register!$X$16)&lt;=0,0,IF(1-Project_Register!$AC$16&lt;=0.000001,IF(Assumptions!O$99=Assumptions!$C$10+1,(Project_Register!$AA$16-Project_Register!$X$16),0),(Project_Register!$AA$16-Project_Register!$X$16)*(O175-O176)/(1-Project_Register!$AC$16))))</f>
        <v>0</v>
      </c>
      <c r="P177" s="67" t="n">
        <f aca="false">IF(P$5="A",0,IF((Project_Register!$AA$16-Project_Register!$X$16)&lt;=0,0,IF(1-Project_Register!$AC$16&lt;=0.000001,IF(Assumptions!P$99=Assumptions!$C$10+1,(Project_Register!$AA$16-Project_Register!$X$16),0),(Project_Register!$AA$16-Project_Register!$X$16)*(P175-P176)/(1-Project_Register!$AC$16))))</f>
        <v>0</v>
      </c>
      <c r="Q177" s="67" t="n">
        <f aca="false">IF(Q$5="A",0,IF((Project_Register!$AA$16-Project_Register!$X$16)&lt;=0,0,IF(1-Project_Register!$AC$16&lt;=0.000001,IF(Assumptions!Q$99=Assumptions!$C$10+1,(Project_Register!$AA$16-Project_Register!$X$16),0),(Project_Register!$AA$16-Project_Register!$X$16)*(Q175-Q176)/(1-Project_Register!$AC$16))))</f>
        <v>0</v>
      </c>
      <c r="R177" s="67" t="n">
        <f aca="false">IF(R$5="A",0,IF((Project_Register!$AA$16-Project_Register!$X$16)&lt;=0,0,IF(1-Project_Register!$AC$16&lt;=0.000001,IF(Assumptions!R$99=Assumptions!$C$10+1,(Project_Register!$AA$16-Project_Register!$X$16),0),(Project_Register!$AA$16-Project_Register!$X$16)*(R175-R176)/(1-Project_Register!$AC$16))))</f>
        <v>50.9620991253644</v>
      </c>
      <c r="S177" s="67" t="n">
        <f aca="false">IF(S$5="A",0,IF((Project_Register!$AA$16-Project_Register!$X$16)&lt;=0,0,IF(1-Project_Register!$AC$16&lt;=0.000001,IF(Assumptions!S$99=Assumptions!$C$10+1,(Project_Register!$AA$16-Project_Register!$X$16),0),(Project_Register!$AA$16-Project_Register!$X$16)*(S175-S176)/(1-Project_Register!$AC$16))))</f>
        <v>131.428571428571</v>
      </c>
      <c r="T177" s="67" t="n">
        <f aca="false">IF(T$5="A",0,IF((Project_Register!$AA$16-Project_Register!$X$16)&lt;=0,0,IF(1-Project_Register!$AC$16&lt;=0.000001,IF(Assumptions!T$99=Assumptions!$C$10+1,(Project_Register!$AA$16-Project_Register!$X$16),0),(Project_Register!$AA$16-Project_Register!$X$16)*(T175-T176)/(1-Project_Register!$AC$16))))</f>
        <v>179.708454810496</v>
      </c>
      <c r="U177" s="67" t="n">
        <f aca="false">IF(U$5="A",0,IF((Project_Register!$AA$16-Project_Register!$X$16)&lt;=0,0,IF(1-Project_Register!$AC$16&lt;=0.000001,IF(Assumptions!U$99=Assumptions!$C$10+1,(Project_Register!$AA$16-Project_Register!$X$16),0),(Project_Register!$AA$16-Project_Register!$X$16)*(U175-U176)/(1-Project_Register!$AC$16))))</f>
        <v>195.801749271137</v>
      </c>
      <c r="V177" s="67" t="n">
        <f aca="false">IF(V$5="A",0,IF((Project_Register!$AA$16-Project_Register!$X$16)&lt;=0,0,IF(1-Project_Register!$AC$16&lt;=0.000001,IF(Assumptions!V$99=Assumptions!$C$10+1,(Project_Register!$AA$16-Project_Register!$X$16),0),(Project_Register!$AA$16-Project_Register!$X$16)*(V175-V176)/(1-Project_Register!$AC$16))))</f>
        <v>179.708454810496</v>
      </c>
      <c r="W177" s="67" t="n">
        <f aca="false">IF(W$5="A",0,IF((Project_Register!$AA$16-Project_Register!$X$16)&lt;=0,0,IF(1-Project_Register!$AC$16&lt;=0.000001,IF(Assumptions!W$99=Assumptions!$C$10+1,(Project_Register!$AA$16-Project_Register!$X$16),0),(Project_Register!$AA$16-Project_Register!$X$16)*(W175-W176)/(1-Project_Register!$AC$16))))</f>
        <v>131.428571428571</v>
      </c>
      <c r="X177" s="67" t="n">
        <f aca="false">IF(X$5="A",0,IF((Project_Register!$AA$16-Project_Register!$X$16)&lt;=0,0,IF(1-Project_Register!$AC$16&lt;=0.000001,IF(Assumptions!X$99=Assumptions!$C$10+1,(Project_Register!$AA$16-Project_Register!$X$16),0),(Project_Register!$AA$16-Project_Register!$X$16)*(X175-X176)/(1-Project_Register!$AC$16))))</f>
        <v>50.9620991253645</v>
      </c>
      <c r="Y177" s="67" t="n">
        <f aca="false">IF(Y$5="A",0,IF((Project_Register!$AA$16-Project_Register!$X$16)&lt;=0,0,IF(1-Project_Register!$AC$16&lt;=0.000001,IF(Assumptions!Y$99=Assumptions!$C$10+1,(Project_Register!$AA$16-Project_Register!$X$16),0),(Project_Register!$AA$16-Project_Register!$X$16)*(Y175-Y176)/(1-Project_Register!$AC$16))))</f>
        <v>0</v>
      </c>
      <c r="Z177" s="67" t="n">
        <f aca="false">IF(Z$5="A",0,IF((Project_Register!$AA$16-Project_Register!$X$16)&lt;=0,0,IF(1-Project_Register!$AC$16&lt;=0.000001,IF(Assumptions!Z$99=Assumptions!$C$10+1,(Project_Register!$AA$16-Project_Register!$X$16),0),(Project_Register!$AA$16-Project_Register!$X$16)*(Z175-Z176)/(1-Project_Register!$AC$16))))</f>
        <v>0</v>
      </c>
      <c r="AA177" s="67" t="n">
        <f aca="false">IF(AA$5="A",0,IF((Project_Register!$AA$16-Project_Register!$X$16)&lt;=0,0,IF(1-Project_Register!$AC$16&lt;=0.000001,IF(Assumptions!AA$99=Assumptions!$C$10+1,(Project_Register!$AA$16-Project_Register!$X$16),0),(Project_Register!$AA$16-Project_Register!$X$16)*(AA175-AA176)/(1-Project_Register!$AC$16))))</f>
        <v>0</v>
      </c>
      <c r="AB177" s="67" t="n">
        <f aca="false">IF(AB$5="A",0,IF((Project_Register!$AA$16-Project_Register!$X$16)&lt;=0,0,IF(1-Project_Register!$AC$16&lt;=0.000001,IF(Assumptions!AB$99=Assumptions!$C$10+1,(Project_Register!$AA$16-Project_Register!$X$16),0),(Project_Register!$AA$16-Project_Register!$X$16)*(AB175-AB176)/(1-Project_Register!$AC$16))))</f>
        <v>0</v>
      </c>
    </row>
    <row r="178" customFormat="false" ht="15" hidden="false" customHeight="false" outlineLevel="0" collapsed="false">
      <c r="A178" s="28" t="s">
        <v>911</v>
      </c>
      <c r="B178" s="58" t="s">
        <v>912</v>
      </c>
      <c r="C178" s="66" t="n">
        <f aca="false">P178</f>
        <v>0</v>
      </c>
      <c r="D178" s="66" t="n">
        <f aca="false">AB178</f>
        <v>920</v>
      </c>
      <c r="E178" s="67" t="n">
        <f aca="false">Project_Register!$P$16+E177</f>
        <v>0</v>
      </c>
      <c r="F178" s="72" t="n">
        <f aca="false">E178+F177</f>
        <v>0</v>
      </c>
      <c r="G178" s="72" t="n">
        <f aca="false">F178+G177</f>
        <v>0</v>
      </c>
      <c r="H178" s="72" t="n">
        <f aca="false">G178+H177</f>
        <v>0</v>
      </c>
      <c r="I178" s="72" t="n">
        <f aca="false">H178+I177</f>
        <v>0</v>
      </c>
      <c r="J178" s="72" t="n">
        <f aca="false">I178+J177</f>
        <v>0</v>
      </c>
      <c r="K178" s="72" t="n">
        <f aca="false">J178+K177</f>
        <v>0</v>
      </c>
      <c r="L178" s="72" t="n">
        <f aca="false">K178+L177</f>
        <v>0</v>
      </c>
      <c r="M178" s="72" t="n">
        <f aca="false">L178+M177</f>
        <v>0</v>
      </c>
      <c r="N178" s="72" t="n">
        <f aca="false">M178+N177</f>
        <v>0</v>
      </c>
      <c r="O178" s="72" t="n">
        <f aca="false">N178+O177</f>
        <v>0</v>
      </c>
      <c r="P178" s="72" t="n">
        <f aca="false">O178+P177</f>
        <v>0</v>
      </c>
      <c r="Q178" s="72" t="n">
        <f aca="false">P178+Q177</f>
        <v>0</v>
      </c>
      <c r="R178" s="72" t="n">
        <f aca="false">Q178+R177</f>
        <v>50.9620991253644</v>
      </c>
      <c r="S178" s="72" t="n">
        <f aca="false">R178+S177</f>
        <v>182.390670553936</v>
      </c>
      <c r="T178" s="72" t="n">
        <f aca="false">S178+T177</f>
        <v>362.099125364431</v>
      </c>
      <c r="U178" s="72" t="n">
        <f aca="false">T178+U177</f>
        <v>557.900874635569</v>
      </c>
      <c r="V178" s="72" t="n">
        <f aca="false">U178+V177</f>
        <v>737.609329446064</v>
      </c>
      <c r="W178" s="72" t="n">
        <f aca="false">V178+W177</f>
        <v>869.037900874635</v>
      </c>
      <c r="X178" s="72" t="n">
        <f aca="false">W178+X177</f>
        <v>920</v>
      </c>
      <c r="Y178" s="72" t="n">
        <f aca="false">X178+Y177</f>
        <v>920</v>
      </c>
      <c r="Z178" s="72" t="n">
        <f aca="false">Y178+Z177</f>
        <v>920</v>
      </c>
      <c r="AA178" s="72" t="n">
        <f aca="false">Z178+AA177</f>
        <v>920</v>
      </c>
      <c r="AB178" s="72" t="n">
        <f aca="false">AA178+AB177</f>
        <v>920</v>
      </c>
    </row>
    <row r="179" customFormat="false" ht="15" hidden="false" customHeight="false" outlineLevel="0" collapsed="false">
      <c r="A179" s="28" t="s">
        <v>913</v>
      </c>
      <c r="B179" s="58" t="s">
        <v>914</v>
      </c>
      <c r="C179" s="66" t="n">
        <f aca="false">P179</f>
        <v>920</v>
      </c>
      <c r="D179" s="66" t="n">
        <f aca="false">AB179</f>
        <v>920</v>
      </c>
      <c r="E179" s="67" t="n">
        <f aca="false">IF(E$5="A",Project_Register!$AA$16,Project_Register!$AA$16)</f>
        <v>920</v>
      </c>
      <c r="F179" s="67" t="n">
        <f aca="false">IF(F$5="A",Project_Register!$AA$16,Project_Register!$AA$16)</f>
        <v>920</v>
      </c>
      <c r="G179" s="67" t="n">
        <f aca="false">IF(G$5="A",Project_Register!$AA$16,Project_Register!$AA$16)</f>
        <v>920</v>
      </c>
      <c r="H179" s="67" t="n">
        <f aca="false">IF(H$5="A",Project_Register!$AA$16,Project_Register!$AA$16)</f>
        <v>920</v>
      </c>
      <c r="I179" s="67" t="n">
        <f aca="false">IF(I$5="A",Project_Register!$AA$16,Project_Register!$AA$16)</f>
        <v>920</v>
      </c>
      <c r="J179" s="67" t="n">
        <f aca="false">IF(J$5="A",Project_Register!$AA$16,Project_Register!$AA$16)</f>
        <v>920</v>
      </c>
      <c r="K179" s="67" t="n">
        <f aca="false">IF(K$5="A",Project_Register!$AA$16,Project_Register!$AA$16)</f>
        <v>920</v>
      </c>
      <c r="L179" s="67" t="n">
        <f aca="false">IF(L$5="A",Project_Register!$AA$16,Project_Register!$AA$16)</f>
        <v>920</v>
      </c>
      <c r="M179" s="67" t="n">
        <f aca="false">IF(M$5="A",Project_Register!$AA$16,Project_Register!$AA$16)</f>
        <v>920</v>
      </c>
      <c r="N179" s="67" t="n">
        <f aca="false">IF(N$5="A",Project_Register!$AA$16,Project_Register!$AA$16)</f>
        <v>920</v>
      </c>
      <c r="O179" s="67" t="n">
        <f aca="false">IF(O$5="A",Project_Register!$AA$16,Project_Register!$AA$16)</f>
        <v>920</v>
      </c>
      <c r="P179" s="67" t="n">
        <f aca="false">IF(P$5="A",Project_Register!$AA$16,Project_Register!$AA$16)</f>
        <v>920</v>
      </c>
      <c r="Q179" s="67" t="n">
        <f aca="false">IF(Q$5="A",Project_Register!$AA$16,Project_Register!$AA$16)</f>
        <v>920</v>
      </c>
      <c r="R179" s="67" t="n">
        <f aca="false">IF(R$5="A",Project_Register!$AA$16,Project_Register!$AA$16)</f>
        <v>920</v>
      </c>
      <c r="S179" s="67" t="n">
        <f aca="false">IF(S$5="A",Project_Register!$AA$16,Project_Register!$AA$16)</f>
        <v>920</v>
      </c>
      <c r="T179" s="67" t="n">
        <f aca="false">IF(T$5="A",Project_Register!$AA$16,Project_Register!$AA$16)</f>
        <v>920</v>
      </c>
      <c r="U179" s="67" t="n">
        <f aca="false">IF(U$5="A",Project_Register!$AA$16,Project_Register!$AA$16)</f>
        <v>920</v>
      </c>
      <c r="V179" s="67" t="n">
        <f aca="false">IF(V$5="A",Project_Register!$AA$16,Project_Register!$AA$16)</f>
        <v>920</v>
      </c>
      <c r="W179" s="67" t="n">
        <f aca="false">IF(W$5="A",Project_Register!$AA$16,Project_Register!$AA$16)</f>
        <v>920</v>
      </c>
      <c r="X179" s="67" t="n">
        <f aca="false">IF(X$5="A",Project_Register!$AA$16,Project_Register!$AA$16)</f>
        <v>920</v>
      </c>
      <c r="Y179" s="67" t="n">
        <f aca="false">IF(Y$5="A",Project_Register!$AA$16,Project_Register!$AA$16)</f>
        <v>920</v>
      </c>
      <c r="Z179" s="67" t="n">
        <f aca="false">IF(Z$5="A",Project_Register!$AA$16,Project_Register!$AA$16)</f>
        <v>920</v>
      </c>
      <c r="AA179" s="67" t="n">
        <f aca="false">IF(AA$5="A",Project_Register!$AA$16,Project_Register!$AA$16)</f>
        <v>920</v>
      </c>
      <c r="AB179" s="67" t="n">
        <f aca="false">IF(AB$5="A",Project_Register!$AA$16,Project_Register!$AA$16)</f>
        <v>920</v>
      </c>
    </row>
    <row r="180" customFormat="false" ht="15" hidden="false" customHeight="false" outlineLevel="0" collapsed="false">
      <c r="A180" s="28" t="s">
        <v>915</v>
      </c>
      <c r="B180" s="58" t="s">
        <v>916</v>
      </c>
      <c r="C180" s="61" t="n">
        <f aca="false">P180</f>
        <v>0</v>
      </c>
      <c r="D180" s="61" t="n">
        <f aca="false">AB180</f>
        <v>1</v>
      </c>
      <c r="E180" s="62" t="n">
        <f aca="false">IF(E179&lt;=0,0,MIN(1,E178/E179))</f>
        <v>0</v>
      </c>
      <c r="F180" s="62" t="n">
        <f aca="false">IF(F179&lt;=0,0,MIN(1,F178/F179))</f>
        <v>0</v>
      </c>
      <c r="G180" s="62" t="n">
        <f aca="false">IF(G179&lt;=0,0,MIN(1,G178/G179))</f>
        <v>0</v>
      </c>
      <c r="H180" s="62" t="n">
        <f aca="false">IF(H179&lt;=0,0,MIN(1,H178/H179))</f>
        <v>0</v>
      </c>
      <c r="I180" s="62" t="n">
        <f aca="false">IF(I179&lt;=0,0,MIN(1,I178/I179))</f>
        <v>0</v>
      </c>
      <c r="J180" s="62" t="n">
        <f aca="false">IF(J179&lt;=0,0,MIN(1,J178/J179))</f>
        <v>0</v>
      </c>
      <c r="K180" s="62" t="n">
        <f aca="false">IF(K179&lt;=0,0,MIN(1,K178/K179))</f>
        <v>0</v>
      </c>
      <c r="L180" s="62" t="n">
        <f aca="false">IF(L179&lt;=0,0,MIN(1,L178/L179))</f>
        <v>0</v>
      </c>
      <c r="M180" s="62" t="n">
        <f aca="false">IF(M179&lt;=0,0,MIN(1,M178/M179))</f>
        <v>0</v>
      </c>
      <c r="N180" s="62" t="n">
        <f aca="false">IF(N179&lt;=0,0,MIN(1,N178/N179))</f>
        <v>0</v>
      </c>
      <c r="O180" s="62" t="n">
        <f aca="false">IF(O179&lt;=0,0,MIN(1,O178/O179))</f>
        <v>0</v>
      </c>
      <c r="P180" s="62" t="n">
        <f aca="false">IF(P179&lt;=0,0,MIN(1,P178/P179))</f>
        <v>0</v>
      </c>
      <c r="Q180" s="62" t="n">
        <f aca="false">IF(Q179&lt;=0,0,MIN(1,Q178/Q179))</f>
        <v>0</v>
      </c>
      <c r="R180" s="62" t="n">
        <f aca="false">IF(R179&lt;=0,0,MIN(1,R178/R179))</f>
        <v>0.0553935860058309</v>
      </c>
      <c r="S180" s="62" t="n">
        <f aca="false">IF(S179&lt;=0,0,MIN(1,S178/S179))</f>
        <v>0.198250728862974</v>
      </c>
      <c r="T180" s="62" t="n">
        <f aca="false">IF(T179&lt;=0,0,MIN(1,T178/T179))</f>
        <v>0.393586005830904</v>
      </c>
      <c r="U180" s="62" t="n">
        <f aca="false">IF(U179&lt;=0,0,MIN(1,U178/U179))</f>
        <v>0.606413994169096</v>
      </c>
      <c r="V180" s="62" t="n">
        <f aca="false">IF(V179&lt;=0,0,MIN(1,V178/V179))</f>
        <v>0.801749271137026</v>
      </c>
      <c r="W180" s="62" t="n">
        <f aca="false">IF(W179&lt;=0,0,MIN(1,W178/W179))</f>
        <v>0.944606413994169</v>
      </c>
      <c r="X180" s="62" t="n">
        <f aca="false">IF(X179&lt;=0,0,MIN(1,X178/X179))</f>
        <v>1</v>
      </c>
      <c r="Y180" s="62" t="n">
        <f aca="false">IF(Y179&lt;=0,0,MIN(1,Y178/Y179))</f>
        <v>1</v>
      </c>
      <c r="Z180" s="62" t="n">
        <f aca="false">IF(Z179&lt;=0,0,MIN(1,Z178/Z179))</f>
        <v>1</v>
      </c>
      <c r="AA180" s="62" t="n">
        <f aca="false">IF(AA179&lt;=0,0,MIN(1,AA178/AA179))</f>
        <v>1</v>
      </c>
      <c r="AB180" s="62" t="n">
        <f aca="false">IF(AB179&lt;=0,0,MIN(1,AB178/AB179))</f>
        <v>1</v>
      </c>
    </row>
    <row r="181" customFormat="false" ht="15" hidden="false" customHeight="false" outlineLevel="0" collapsed="false">
      <c r="A181" s="28" t="s">
        <v>917</v>
      </c>
      <c r="B181" s="58" t="s">
        <v>918</v>
      </c>
      <c r="C181" s="59" t="n">
        <f aca="false">P181</f>
        <v>96000</v>
      </c>
      <c r="D181" s="59" t="n">
        <f aca="false">AB181</f>
        <v>96000</v>
      </c>
      <c r="E181" s="60" t="n">
        <f aca="false">IF(E$5="A",0,Project_Register!$W$16)</f>
        <v>0</v>
      </c>
      <c r="F181" s="60" t="n">
        <f aca="false">IF(F$5="A",0,Project_Register!$W$16)</f>
        <v>0</v>
      </c>
      <c r="G181" s="60" t="n">
        <f aca="false">IF(G$5="A",0,Project_Register!$W$16)</f>
        <v>0</v>
      </c>
      <c r="H181" s="60" t="n">
        <f aca="false">IF(H$5="A",0,Project_Register!$W$16)</f>
        <v>0</v>
      </c>
      <c r="I181" s="60" t="n">
        <f aca="false">IF(I$5="A",0,Project_Register!$W$16)</f>
        <v>0</v>
      </c>
      <c r="J181" s="60" t="n">
        <f aca="false">IF(J$5="A",0,Project_Register!$W$16)</f>
        <v>0</v>
      </c>
      <c r="K181" s="60" t="n">
        <f aca="false">IF(K$5="A",0,Project_Register!$W$16)</f>
        <v>0</v>
      </c>
      <c r="L181" s="60" t="n">
        <f aca="false">IF(L$5="A",0,Project_Register!$W$16)</f>
        <v>0</v>
      </c>
      <c r="M181" s="60" t="n">
        <f aca="false">IF(M$5="A",0,Project_Register!$W$16)</f>
        <v>96000</v>
      </c>
      <c r="N181" s="60" t="n">
        <f aca="false">IF(N$5="A",0,Project_Register!$W$16)</f>
        <v>96000</v>
      </c>
      <c r="O181" s="60" t="n">
        <f aca="false">IF(O$5="A",0,Project_Register!$W$16)</f>
        <v>96000</v>
      </c>
      <c r="P181" s="60" t="n">
        <f aca="false">IF(P$5="A",0,Project_Register!$W$16)</f>
        <v>96000</v>
      </c>
      <c r="Q181" s="60" t="n">
        <f aca="false">IF(Q$5="A",0,Project_Register!$W$16)</f>
        <v>96000</v>
      </c>
      <c r="R181" s="60" t="n">
        <f aca="false">IF(R$5="A",0,Project_Register!$W$16)</f>
        <v>96000</v>
      </c>
      <c r="S181" s="60" t="n">
        <f aca="false">IF(S$5="A",0,Project_Register!$W$16)</f>
        <v>96000</v>
      </c>
      <c r="T181" s="60" t="n">
        <f aca="false">IF(T$5="A",0,Project_Register!$W$16)</f>
        <v>96000</v>
      </c>
      <c r="U181" s="60" t="n">
        <f aca="false">IF(U$5="A",0,Project_Register!$W$16)</f>
        <v>96000</v>
      </c>
      <c r="V181" s="60" t="n">
        <f aca="false">IF(V$5="A",0,Project_Register!$W$16)</f>
        <v>96000</v>
      </c>
      <c r="W181" s="60" t="n">
        <f aca="false">IF(W$5="A",0,Project_Register!$W$16)</f>
        <v>96000</v>
      </c>
      <c r="X181" s="60" t="n">
        <f aca="false">IF(X$5="A",0,Project_Register!$W$16)</f>
        <v>96000</v>
      </c>
      <c r="Y181" s="60" t="n">
        <f aca="false">IF(Y$5="A",0,Project_Register!$W$16)</f>
        <v>96000</v>
      </c>
      <c r="Z181" s="60" t="n">
        <f aca="false">IF(Z$5="A",0,Project_Register!$W$16)</f>
        <v>96000</v>
      </c>
      <c r="AA181" s="60" t="n">
        <f aca="false">IF(AA$5="A",0,Project_Register!$W$16)</f>
        <v>96000</v>
      </c>
      <c r="AB181" s="60" t="n">
        <f aca="false">IF(AB$5="A",0,Project_Register!$W$16)</f>
        <v>96000</v>
      </c>
    </row>
    <row r="182" customFormat="false" ht="15" hidden="false" customHeight="false" outlineLevel="0" collapsed="false">
      <c r="A182" s="28" t="s">
        <v>919</v>
      </c>
      <c r="B182" s="58" t="s">
        <v>920</v>
      </c>
      <c r="C182" s="59" t="n">
        <f aca="false">P182</f>
        <v>0</v>
      </c>
      <c r="D182" s="59" t="n">
        <f aca="false">AB182</f>
        <v>96000</v>
      </c>
      <c r="E182" s="60" t="n">
        <f aca="false">IF(E$5="A",Project_Register!$Q$16+0,E180*E181)</f>
        <v>0</v>
      </c>
      <c r="F182" s="71" t="n">
        <f aca="false">IF(F$5="A",E182+0,F180*F181)</f>
        <v>0</v>
      </c>
      <c r="G182" s="71" t="n">
        <f aca="false">IF(G$5="A",F182+0,G180*G181)</f>
        <v>0</v>
      </c>
      <c r="H182" s="71" t="n">
        <f aca="false">IF(H$5="A",G182+0,H180*H181)</f>
        <v>0</v>
      </c>
      <c r="I182" s="71" t="n">
        <f aca="false">IF(I$5="A",H182+0,I180*I181)</f>
        <v>0</v>
      </c>
      <c r="J182" s="71" t="n">
        <f aca="false">IF(J$5="A",I182+0,J180*J181)</f>
        <v>0</v>
      </c>
      <c r="K182" s="71" t="n">
        <f aca="false">IF(K$5="A",J182+0,K180*K181)</f>
        <v>0</v>
      </c>
      <c r="L182" s="71" t="n">
        <f aca="false">IF(L$5="A",K182+0,L180*L181)</f>
        <v>0</v>
      </c>
      <c r="M182" s="71" t="n">
        <f aca="false">IF(M$5="A",L182+0,M180*M181)</f>
        <v>0</v>
      </c>
      <c r="N182" s="71" t="n">
        <f aca="false">IF(N$5="A",M182+0,N180*N181)</f>
        <v>0</v>
      </c>
      <c r="O182" s="71" t="n">
        <f aca="false">IF(O$5="A",N182+0,O180*O181)</f>
        <v>0</v>
      </c>
      <c r="P182" s="71" t="n">
        <f aca="false">IF(P$5="A",O182+0,P180*P181)</f>
        <v>0</v>
      </c>
      <c r="Q182" s="71" t="n">
        <f aca="false">IF(Q$5="A",P182+0,Q180*Q181)</f>
        <v>0</v>
      </c>
      <c r="R182" s="71" t="n">
        <f aca="false">IF(R$5="A",Q182+0,R180*R181)</f>
        <v>5317.78425655977</v>
      </c>
      <c r="S182" s="71" t="n">
        <f aca="false">IF(S$5="A",R182+0,S180*S181)</f>
        <v>19032.0699708455</v>
      </c>
      <c r="T182" s="71" t="n">
        <f aca="false">IF(T$5="A",S182+0,T180*T181)</f>
        <v>37784.2565597668</v>
      </c>
      <c r="U182" s="71" t="n">
        <f aca="false">IF(U$5="A",T182+0,U180*U181)</f>
        <v>58215.7434402332</v>
      </c>
      <c r="V182" s="71" t="n">
        <f aca="false">IF(V$5="A",U182+0,V180*V181)</f>
        <v>76967.9300291545</v>
      </c>
      <c r="W182" s="71" t="n">
        <f aca="false">IF(W$5="A",V182+0,W180*W181)</f>
        <v>90682.2157434402</v>
      </c>
      <c r="X182" s="71" t="n">
        <f aca="false">IF(X$5="A",W182+0,X180*X181)</f>
        <v>96000</v>
      </c>
      <c r="Y182" s="71" t="n">
        <f aca="false">IF(Y$5="A",X182+0,Y180*Y181)</f>
        <v>96000</v>
      </c>
      <c r="Z182" s="71" t="n">
        <f aca="false">IF(Z$5="A",Y182+0,Z180*Z181)</f>
        <v>96000</v>
      </c>
      <c r="AA182" s="71" t="n">
        <f aca="false">IF(AA$5="A",Z182+0,AA180*AA181)</f>
        <v>96000</v>
      </c>
      <c r="AB182" s="71" t="n">
        <f aca="false">IF(AB$5="A",AA182+0,AB180*AB181)</f>
        <v>96000</v>
      </c>
    </row>
    <row r="183" customFormat="false" ht="15" hidden="false" customHeight="false" outlineLevel="0" collapsed="false">
      <c r="A183" s="68" t="s">
        <v>934</v>
      </c>
      <c r="B183" s="69" t="s">
        <v>922</v>
      </c>
      <c r="C183" s="70" t="n">
        <f aca="false">SUM(E183:P183)</f>
        <v>0</v>
      </c>
      <c r="D183" s="70" t="n">
        <f aca="false">SUM(Q183:AB183)</f>
        <v>96000</v>
      </c>
      <c r="E183" s="74" t="n">
        <f aca="false">E182-Project_Register!$Q$16</f>
        <v>0</v>
      </c>
      <c r="F183" s="70" t="n">
        <f aca="false">F182-E182</f>
        <v>0</v>
      </c>
      <c r="G183" s="70" t="n">
        <f aca="false">G182-F182</f>
        <v>0</v>
      </c>
      <c r="H183" s="70" t="n">
        <f aca="false">H182-G182</f>
        <v>0</v>
      </c>
      <c r="I183" s="70" t="n">
        <f aca="false">I182-H182</f>
        <v>0</v>
      </c>
      <c r="J183" s="70" t="n">
        <f aca="false">J182-I182</f>
        <v>0</v>
      </c>
      <c r="K183" s="70" t="n">
        <f aca="false">K182-J182</f>
        <v>0</v>
      </c>
      <c r="L183" s="70" t="n">
        <f aca="false">L182-K182</f>
        <v>0</v>
      </c>
      <c r="M183" s="70" t="n">
        <f aca="false">M182-L182</f>
        <v>0</v>
      </c>
      <c r="N183" s="70" t="n">
        <f aca="false">N182-M182</f>
        <v>0</v>
      </c>
      <c r="O183" s="70" t="n">
        <f aca="false">O182-N182</f>
        <v>0</v>
      </c>
      <c r="P183" s="70" t="n">
        <f aca="false">P182-O182</f>
        <v>0</v>
      </c>
      <c r="Q183" s="70" t="n">
        <f aca="false">Q182-P182</f>
        <v>0</v>
      </c>
      <c r="R183" s="70" t="n">
        <f aca="false">R182-Q182</f>
        <v>5317.78425655977</v>
      </c>
      <c r="S183" s="70" t="n">
        <f aca="false">S182-R182</f>
        <v>13714.2857142857</v>
      </c>
      <c r="T183" s="70" t="n">
        <f aca="false">T182-S182</f>
        <v>18752.1865889213</v>
      </c>
      <c r="U183" s="70" t="n">
        <f aca="false">U182-T182</f>
        <v>20431.4868804665</v>
      </c>
      <c r="V183" s="70" t="n">
        <f aca="false">V182-U182</f>
        <v>18752.1865889213</v>
      </c>
      <c r="W183" s="70" t="n">
        <f aca="false">W182-V182</f>
        <v>13714.2857142857</v>
      </c>
      <c r="X183" s="70" t="n">
        <f aca="false">X182-W182</f>
        <v>5317.78425655977</v>
      </c>
      <c r="Y183" s="70" t="n">
        <f aca="false">Y182-X182</f>
        <v>0</v>
      </c>
      <c r="Z183" s="70" t="n">
        <f aca="false">Z182-Y182</f>
        <v>0</v>
      </c>
      <c r="AA183" s="70" t="n">
        <f aca="false">AA182-Z182</f>
        <v>0</v>
      </c>
      <c r="AB183" s="70" t="n">
        <f aca="false">AB182-AA182</f>
        <v>0</v>
      </c>
    </row>
    <row r="184" customFormat="false" ht="15" hidden="false" customHeight="false" outlineLevel="0" collapsed="false">
      <c r="A184" s="28" t="s">
        <v>923</v>
      </c>
      <c r="B184" s="58" t="s">
        <v>924</v>
      </c>
      <c r="C184" s="59" t="n">
        <f aca="false">P184</f>
        <v>0</v>
      </c>
      <c r="D184" s="59" t="n">
        <f aca="false">AB184</f>
        <v>96000</v>
      </c>
      <c r="E184" s="60" t="n">
        <f aca="false">E181*(Assumptions!$C$71*(Assumptions!E$99&gt;=Project_Register!$T$16)+Assumptions!$C$72*(Assumptions!E$99&gt;=Project_Register!$V$16)+Assumptions!$C$73*(Assumptions!E$99&gt;=Project_Register!$U$16))</f>
        <v>0</v>
      </c>
      <c r="F184" s="60" t="n">
        <f aca="false">F181*(Assumptions!$C$71*(Assumptions!F$99&gt;=Project_Register!$T$16)+Assumptions!$C$72*(Assumptions!F$99&gt;=Project_Register!$V$16)+Assumptions!$C$73*(Assumptions!F$99&gt;=Project_Register!$U$16))</f>
        <v>0</v>
      </c>
      <c r="G184" s="60" t="n">
        <f aca="false">G181*(Assumptions!$C$71*(Assumptions!G$99&gt;=Project_Register!$T$16)+Assumptions!$C$72*(Assumptions!G$99&gt;=Project_Register!$V$16)+Assumptions!$C$73*(Assumptions!G$99&gt;=Project_Register!$U$16))</f>
        <v>0</v>
      </c>
      <c r="H184" s="60" t="n">
        <f aca="false">H181*(Assumptions!$C$71*(Assumptions!H$99&gt;=Project_Register!$T$16)+Assumptions!$C$72*(Assumptions!H$99&gt;=Project_Register!$V$16)+Assumptions!$C$73*(Assumptions!H$99&gt;=Project_Register!$U$16))</f>
        <v>0</v>
      </c>
      <c r="I184" s="60" t="n">
        <f aca="false">I181*(Assumptions!$C$71*(Assumptions!I$99&gt;=Project_Register!$T$16)+Assumptions!$C$72*(Assumptions!I$99&gt;=Project_Register!$V$16)+Assumptions!$C$73*(Assumptions!I$99&gt;=Project_Register!$U$16))</f>
        <v>0</v>
      </c>
      <c r="J184" s="60" t="n">
        <f aca="false">J181*(Assumptions!$C$71*(Assumptions!J$99&gt;=Project_Register!$T$16)+Assumptions!$C$72*(Assumptions!J$99&gt;=Project_Register!$V$16)+Assumptions!$C$73*(Assumptions!J$99&gt;=Project_Register!$U$16))</f>
        <v>0</v>
      </c>
      <c r="K184" s="60" t="n">
        <f aca="false">K181*(Assumptions!$C$71*(Assumptions!K$99&gt;=Project_Register!$T$16)+Assumptions!$C$72*(Assumptions!K$99&gt;=Project_Register!$V$16)+Assumptions!$C$73*(Assumptions!K$99&gt;=Project_Register!$U$16))</f>
        <v>0</v>
      </c>
      <c r="L184" s="60" t="n">
        <f aca="false">L181*(Assumptions!$C$71*(Assumptions!L$99&gt;=Project_Register!$T$16)+Assumptions!$C$72*(Assumptions!L$99&gt;=Project_Register!$V$16)+Assumptions!$C$73*(Assumptions!L$99&gt;=Project_Register!$U$16))</f>
        <v>0</v>
      </c>
      <c r="M184" s="60" t="n">
        <f aca="false">M181*(Assumptions!$C$71*(Assumptions!M$99&gt;=Project_Register!$T$16)+Assumptions!$C$72*(Assumptions!M$99&gt;=Project_Register!$V$16)+Assumptions!$C$73*(Assumptions!M$99&gt;=Project_Register!$U$16))</f>
        <v>0</v>
      </c>
      <c r="N184" s="60" t="n">
        <f aca="false">N181*(Assumptions!$C$71*(Assumptions!N$99&gt;=Project_Register!$T$16)+Assumptions!$C$72*(Assumptions!N$99&gt;=Project_Register!$V$16)+Assumptions!$C$73*(Assumptions!N$99&gt;=Project_Register!$U$16))</f>
        <v>0</v>
      </c>
      <c r="O184" s="60" t="n">
        <f aca="false">O181*(Assumptions!$C$71*(Assumptions!O$99&gt;=Project_Register!$T$16)+Assumptions!$C$72*(Assumptions!O$99&gt;=Project_Register!$V$16)+Assumptions!$C$73*(Assumptions!O$99&gt;=Project_Register!$U$16))</f>
        <v>0</v>
      </c>
      <c r="P184" s="60" t="n">
        <f aca="false">P181*(Assumptions!$C$71*(Assumptions!P$99&gt;=Project_Register!$T$16)+Assumptions!$C$72*(Assumptions!P$99&gt;=Project_Register!$V$16)+Assumptions!$C$73*(Assumptions!P$99&gt;=Project_Register!$U$16))</f>
        <v>0</v>
      </c>
      <c r="Q184" s="60" t="n">
        <f aca="false">Q181*(Assumptions!$C$71*(Assumptions!Q$99&gt;=Project_Register!$T$16)+Assumptions!$C$72*(Assumptions!Q$99&gt;=Project_Register!$V$16)+Assumptions!$C$73*(Assumptions!Q$99&gt;=Project_Register!$U$16))</f>
        <v>0</v>
      </c>
      <c r="R184" s="60" t="n">
        <f aca="false">R181*(Assumptions!$C$71*(Assumptions!R$99&gt;=Project_Register!$T$16)+Assumptions!$C$72*(Assumptions!R$99&gt;=Project_Register!$V$16)+Assumptions!$C$73*(Assumptions!R$99&gt;=Project_Register!$U$16))</f>
        <v>28800</v>
      </c>
      <c r="S184" s="60" t="n">
        <f aca="false">S181*(Assumptions!$C$71*(Assumptions!S$99&gt;=Project_Register!$T$16)+Assumptions!$C$72*(Assumptions!S$99&gt;=Project_Register!$V$16)+Assumptions!$C$73*(Assumptions!S$99&gt;=Project_Register!$U$16))</f>
        <v>28800</v>
      </c>
      <c r="T184" s="60" t="n">
        <f aca="false">T181*(Assumptions!$C$71*(Assumptions!T$99&gt;=Project_Register!$T$16)+Assumptions!$C$72*(Assumptions!T$99&gt;=Project_Register!$V$16)+Assumptions!$C$73*(Assumptions!T$99&gt;=Project_Register!$U$16))</f>
        <v>28800</v>
      </c>
      <c r="U184" s="60" t="n">
        <f aca="false">U181*(Assumptions!$C$71*(Assumptions!U$99&gt;=Project_Register!$T$16)+Assumptions!$C$72*(Assumptions!U$99&gt;=Project_Register!$V$16)+Assumptions!$C$73*(Assumptions!U$99&gt;=Project_Register!$U$16))</f>
        <v>67200</v>
      </c>
      <c r="V184" s="60" t="n">
        <f aca="false">V181*(Assumptions!$C$71*(Assumptions!V$99&gt;=Project_Register!$T$16)+Assumptions!$C$72*(Assumptions!V$99&gt;=Project_Register!$V$16)+Assumptions!$C$73*(Assumptions!V$99&gt;=Project_Register!$U$16))</f>
        <v>67200</v>
      </c>
      <c r="W184" s="60" t="n">
        <f aca="false">W181*(Assumptions!$C$71*(Assumptions!W$99&gt;=Project_Register!$T$16)+Assumptions!$C$72*(Assumptions!W$99&gt;=Project_Register!$V$16)+Assumptions!$C$73*(Assumptions!W$99&gt;=Project_Register!$U$16))</f>
        <v>67200</v>
      </c>
      <c r="X184" s="60" t="n">
        <f aca="false">X181*(Assumptions!$C$71*(Assumptions!X$99&gt;=Project_Register!$T$16)+Assumptions!$C$72*(Assumptions!X$99&gt;=Project_Register!$V$16)+Assumptions!$C$73*(Assumptions!X$99&gt;=Project_Register!$U$16))</f>
        <v>96000</v>
      </c>
      <c r="Y184" s="60" t="n">
        <f aca="false">Y181*(Assumptions!$C$71*(Assumptions!Y$99&gt;=Project_Register!$T$16)+Assumptions!$C$72*(Assumptions!Y$99&gt;=Project_Register!$V$16)+Assumptions!$C$73*(Assumptions!Y$99&gt;=Project_Register!$U$16))</f>
        <v>96000</v>
      </c>
      <c r="Z184" s="60" t="n">
        <f aca="false">Z181*(Assumptions!$C$71*(Assumptions!Z$99&gt;=Project_Register!$T$16)+Assumptions!$C$72*(Assumptions!Z$99&gt;=Project_Register!$V$16)+Assumptions!$C$73*(Assumptions!Z$99&gt;=Project_Register!$U$16))</f>
        <v>96000</v>
      </c>
      <c r="AA184" s="60" t="n">
        <f aca="false">AA181*(Assumptions!$C$71*(Assumptions!AA$99&gt;=Project_Register!$T$16)+Assumptions!$C$72*(Assumptions!AA$99&gt;=Project_Register!$V$16)+Assumptions!$C$73*(Assumptions!AA$99&gt;=Project_Register!$U$16))</f>
        <v>96000</v>
      </c>
      <c r="AB184" s="60" t="n">
        <f aca="false">AB181*(Assumptions!$C$71*(Assumptions!AB$99&gt;=Project_Register!$T$16)+Assumptions!$C$72*(Assumptions!AB$99&gt;=Project_Register!$V$16)+Assumptions!$C$73*(Assumptions!AB$99&gt;=Project_Register!$U$16))</f>
        <v>96000</v>
      </c>
    </row>
    <row r="185" customFormat="false" ht="15" hidden="false" customHeight="false" outlineLevel="0" collapsed="false">
      <c r="A185" s="28" t="s">
        <v>925</v>
      </c>
      <c r="B185" s="58" t="s">
        <v>926</v>
      </c>
      <c r="C185" s="59" t="n">
        <f aca="false">SUM(E185:P185)</f>
        <v>0</v>
      </c>
      <c r="D185" s="59" t="n">
        <f aca="false">SUM(Q185:AB185)</f>
        <v>96000</v>
      </c>
      <c r="E185" s="60" t="n">
        <f aca="false">IF(E$5="A",0,MAX(0,E184-Project_Register!$R$16))</f>
        <v>0</v>
      </c>
      <c r="F185" s="71" t="n">
        <f aca="false">IF(F$5="A",0,MAX(0,F184-E186))</f>
        <v>0</v>
      </c>
      <c r="G185" s="71" t="n">
        <f aca="false">IF(G$5="A",0,MAX(0,G184-F186))</f>
        <v>0</v>
      </c>
      <c r="H185" s="71" t="n">
        <f aca="false">IF(H$5="A",0,MAX(0,H184-G186))</f>
        <v>0</v>
      </c>
      <c r="I185" s="71" t="n">
        <f aca="false">IF(I$5="A",0,MAX(0,I184-H186))</f>
        <v>0</v>
      </c>
      <c r="J185" s="71" t="n">
        <f aca="false">IF(J$5="A",0,MAX(0,J184-I186))</f>
        <v>0</v>
      </c>
      <c r="K185" s="71" t="n">
        <f aca="false">IF(K$5="A",0,MAX(0,K184-J186))</f>
        <v>0</v>
      </c>
      <c r="L185" s="71" t="n">
        <f aca="false">IF(L$5="A",0,MAX(0,L184-K186))</f>
        <v>0</v>
      </c>
      <c r="M185" s="71" t="n">
        <f aca="false">IF(M$5="A",0,MAX(0,M184-L186))</f>
        <v>0</v>
      </c>
      <c r="N185" s="71" t="n">
        <f aca="false">IF(N$5="A",0,MAX(0,N184-M186))</f>
        <v>0</v>
      </c>
      <c r="O185" s="71" t="n">
        <f aca="false">IF(O$5="A",0,MAX(0,O184-N186))</f>
        <v>0</v>
      </c>
      <c r="P185" s="71" t="n">
        <f aca="false">IF(P$5="A",0,MAX(0,P184-O186))</f>
        <v>0</v>
      </c>
      <c r="Q185" s="71" t="n">
        <f aca="false">IF(Q$5="A",0,MAX(0,Q184-P186))</f>
        <v>0</v>
      </c>
      <c r="R185" s="71" t="n">
        <f aca="false">IF(R$5="A",0,MAX(0,R184-Q186))</f>
        <v>28800</v>
      </c>
      <c r="S185" s="71" t="n">
        <f aca="false">IF(S$5="A",0,MAX(0,S184-R186))</f>
        <v>0</v>
      </c>
      <c r="T185" s="71" t="n">
        <f aca="false">IF(T$5="A",0,MAX(0,T184-S186))</f>
        <v>0</v>
      </c>
      <c r="U185" s="71" t="n">
        <f aca="false">IF(U$5="A",0,MAX(0,U184-T186))</f>
        <v>38400</v>
      </c>
      <c r="V185" s="71" t="n">
        <f aca="false">IF(V$5="A",0,MAX(0,V184-U186))</f>
        <v>0</v>
      </c>
      <c r="W185" s="71" t="n">
        <f aca="false">IF(W$5="A",0,MAX(0,W184-V186))</f>
        <v>0</v>
      </c>
      <c r="X185" s="71" t="n">
        <f aca="false">IF(X$5="A",0,MAX(0,X184-W186))</f>
        <v>28800</v>
      </c>
      <c r="Y185" s="71" t="n">
        <f aca="false">IF(Y$5="A",0,MAX(0,Y184-X186))</f>
        <v>0</v>
      </c>
      <c r="Z185" s="71" t="n">
        <f aca="false">IF(Z$5="A",0,MAX(0,Z184-Y186))</f>
        <v>0</v>
      </c>
      <c r="AA185" s="71" t="n">
        <f aca="false">IF(AA$5="A",0,MAX(0,AA184-Z186))</f>
        <v>0</v>
      </c>
      <c r="AB185" s="71" t="n">
        <f aca="false">IF(AB$5="A",0,MAX(0,AB184-AA186))</f>
        <v>0</v>
      </c>
    </row>
    <row r="186" customFormat="false" ht="15" hidden="false" customHeight="false" outlineLevel="0" collapsed="false">
      <c r="A186" s="28" t="s">
        <v>927</v>
      </c>
      <c r="B186" s="58"/>
      <c r="C186" s="59" t="n">
        <f aca="false">P186</f>
        <v>0</v>
      </c>
      <c r="D186" s="59" t="n">
        <f aca="false">AB186</f>
        <v>96000</v>
      </c>
      <c r="E186" s="60" t="n">
        <f aca="false">Project_Register!$R$16+E185</f>
        <v>0</v>
      </c>
      <c r="F186" s="71" t="n">
        <f aca="false">E186+F185</f>
        <v>0</v>
      </c>
      <c r="G186" s="71" t="n">
        <f aca="false">F186+G185</f>
        <v>0</v>
      </c>
      <c r="H186" s="71" t="n">
        <f aca="false">G186+H185</f>
        <v>0</v>
      </c>
      <c r="I186" s="71" t="n">
        <f aca="false">H186+I185</f>
        <v>0</v>
      </c>
      <c r="J186" s="71" t="n">
        <f aca="false">I186+J185</f>
        <v>0</v>
      </c>
      <c r="K186" s="71" t="n">
        <f aca="false">J186+K185</f>
        <v>0</v>
      </c>
      <c r="L186" s="71" t="n">
        <f aca="false">K186+L185</f>
        <v>0</v>
      </c>
      <c r="M186" s="71" t="n">
        <f aca="false">L186+M185</f>
        <v>0</v>
      </c>
      <c r="N186" s="71" t="n">
        <f aca="false">M186+N185</f>
        <v>0</v>
      </c>
      <c r="O186" s="71" t="n">
        <f aca="false">N186+O185</f>
        <v>0</v>
      </c>
      <c r="P186" s="71" t="n">
        <f aca="false">O186+P185</f>
        <v>0</v>
      </c>
      <c r="Q186" s="71" t="n">
        <f aca="false">P186+Q185</f>
        <v>0</v>
      </c>
      <c r="R186" s="71" t="n">
        <f aca="false">Q186+R185</f>
        <v>28800</v>
      </c>
      <c r="S186" s="71" t="n">
        <f aca="false">R186+S185</f>
        <v>28800</v>
      </c>
      <c r="T186" s="71" t="n">
        <f aca="false">S186+T185</f>
        <v>28800</v>
      </c>
      <c r="U186" s="71" t="n">
        <f aca="false">T186+U185</f>
        <v>67200</v>
      </c>
      <c r="V186" s="71" t="n">
        <f aca="false">U186+V185</f>
        <v>67200</v>
      </c>
      <c r="W186" s="71" t="n">
        <f aca="false">V186+W185</f>
        <v>67200</v>
      </c>
      <c r="X186" s="71" t="n">
        <f aca="false">W186+X185</f>
        <v>96000</v>
      </c>
      <c r="Y186" s="71" t="n">
        <f aca="false">X186+Y185</f>
        <v>96000</v>
      </c>
      <c r="Z186" s="71" t="n">
        <f aca="false">Y186+Z185</f>
        <v>96000</v>
      </c>
      <c r="AA186" s="71" t="n">
        <f aca="false">Z186+AA185</f>
        <v>96000</v>
      </c>
      <c r="AB186" s="71" t="n">
        <f aca="false">AA186+AB185</f>
        <v>96000</v>
      </c>
    </row>
    <row r="187" customFormat="false" ht="15" hidden="false" customHeight="false" outlineLevel="0" collapsed="false">
      <c r="A187" s="28" t="s">
        <v>928</v>
      </c>
      <c r="B187" s="58" t="s">
        <v>929</v>
      </c>
      <c r="C187" s="59" t="n">
        <f aca="false">P187</f>
        <v>0</v>
      </c>
      <c r="D187" s="59" t="n">
        <f aca="false">AB187</f>
        <v>0</v>
      </c>
      <c r="E187" s="71" t="n">
        <f aca="false">E182-E186</f>
        <v>0</v>
      </c>
      <c r="F187" s="71" t="n">
        <f aca="false">F182-F186</f>
        <v>0</v>
      </c>
      <c r="G187" s="71" t="n">
        <f aca="false">G182-G186</f>
        <v>0</v>
      </c>
      <c r="H187" s="71" t="n">
        <f aca="false">H182-H186</f>
        <v>0</v>
      </c>
      <c r="I187" s="71" t="n">
        <f aca="false">I182-I186</f>
        <v>0</v>
      </c>
      <c r="J187" s="71" t="n">
        <f aca="false">J182-J186</f>
        <v>0</v>
      </c>
      <c r="K187" s="71" t="n">
        <f aca="false">K182-K186</f>
        <v>0</v>
      </c>
      <c r="L187" s="71" t="n">
        <f aca="false">L182-L186</f>
        <v>0</v>
      </c>
      <c r="M187" s="71" t="n">
        <f aca="false">M182-M186</f>
        <v>0</v>
      </c>
      <c r="N187" s="71" t="n">
        <f aca="false">N182-N186</f>
        <v>0</v>
      </c>
      <c r="O187" s="71" t="n">
        <f aca="false">O182-O186</f>
        <v>0</v>
      </c>
      <c r="P187" s="71" t="n">
        <f aca="false">P182-P186</f>
        <v>0</v>
      </c>
      <c r="Q187" s="71" t="n">
        <f aca="false">Q182-Q186</f>
        <v>0</v>
      </c>
      <c r="R187" s="71" t="n">
        <f aca="false">R182-R186</f>
        <v>-23482.2157434402</v>
      </c>
      <c r="S187" s="71" t="n">
        <f aca="false">S182-S186</f>
        <v>-9767.93002915452</v>
      </c>
      <c r="T187" s="71" t="n">
        <f aca="false">T182-T186</f>
        <v>8984.25655976676</v>
      </c>
      <c r="U187" s="71" t="n">
        <f aca="false">U182-U186</f>
        <v>-8984.25655976677</v>
      </c>
      <c r="V187" s="71" t="n">
        <f aca="false">V182-V186</f>
        <v>9767.93002915452</v>
      </c>
      <c r="W187" s="71" t="n">
        <f aca="false">W182-W186</f>
        <v>23482.2157434402</v>
      </c>
      <c r="X187" s="71" t="n">
        <f aca="false">X182-X186</f>
        <v>0</v>
      </c>
      <c r="Y187" s="71" t="n">
        <f aca="false">Y182-Y186</f>
        <v>0</v>
      </c>
      <c r="Z187" s="71" t="n">
        <f aca="false">Z182-Z186</f>
        <v>0</v>
      </c>
      <c r="AA187" s="71" t="n">
        <f aca="false">AA182-AA186</f>
        <v>0</v>
      </c>
      <c r="AB187" s="71" t="n">
        <f aca="false">AB182-AB186</f>
        <v>0</v>
      </c>
    </row>
    <row r="188" customFormat="false" ht="15" hidden="false" customHeight="false" outlineLevel="0" collapsed="false">
      <c r="A188" s="28" t="s">
        <v>930</v>
      </c>
      <c r="B188" s="58"/>
      <c r="C188" s="59" t="n">
        <f aca="false">P188</f>
        <v>96000</v>
      </c>
      <c r="D188" s="59" t="n">
        <f aca="false">AB188</f>
        <v>0</v>
      </c>
      <c r="E188" s="71" t="n">
        <f aca="false">MAX(0,E181-E182)</f>
        <v>0</v>
      </c>
      <c r="F188" s="71" t="n">
        <f aca="false">MAX(0,F181-F182)</f>
        <v>0</v>
      </c>
      <c r="G188" s="71" t="n">
        <f aca="false">MAX(0,G181-G182)</f>
        <v>0</v>
      </c>
      <c r="H188" s="71" t="n">
        <f aca="false">MAX(0,H181-H182)</f>
        <v>0</v>
      </c>
      <c r="I188" s="71" t="n">
        <f aca="false">MAX(0,I181-I182)</f>
        <v>0</v>
      </c>
      <c r="J188" s="71" t="n">
        <f aca="false">MAX(0,J181-J182)</f>
        <v>0</v>
      </c>
      <c r="K188" s="71" t="n">
        <f aca="false">MAX(0,K181-K182)</f>
        <v>0</v>
      </c>
      <c r="L188" s="71" t="n">
        <f aca="false">MAX(0,L181-L182)</f>
        <v>0</v>
      </c>
      <c r="M188" s="71" t="n">
        <f aca="false">MAX(0,M181-M182)</f>
        <v>96000</v>
      </c>
      <c r="N188" s="71" t="n">
        <f aca="false">MAX(0,N181-N182)</f>
        <v>96000</v>
      </c>
      <c r="O188" s="71" t="n">
        <f aca="false">MAX(0,O181-O182)</f>
        <v>96000</v>
      </c>
      <c r="P188" s="71" t="n">
        <f aca="false">MAX(0,P181-P182)</f>
        <v>96000</v>
      </c>
      <c r="Q188" s="71" t="n">
        <f aca="false">MAX(0,Q181-Q182)</f>
        <v>96000</v>
      </c>
      <c r="R188" s="71" t="n">
        <f aca="false">MAX(0,R181-R182)</f>
        <v>90682.2157434402</v>
      </c>
      <c r="S188" s="71" t="n">
        <f aca="false">MAX(0,S181-S182)</f>
        <v>76967.9300291545</v>
      </c>
      <c r="T188" s="71" t="n">
        <f aca="false">MAX(0,T181-T182)</f>
        <v>58215.7434402332</v>
      </c>
      <c r="U188" s="71" t="n">
        <f aca="false">MAX(0,U181-U182)</f>
        <v>37784.2565597668</v>
      </c>
      <c r="V188" s="71" t="n">
        <f aca="false">MAX(0,V181-V182)</f>
        <v>19032.0699708455</v>
      </c>
      <c r="W188" s="71" t="n">
        <f aca="false">MAX(0,W181-W182)</f>
        <v>5317.78425655978</v>
      </c>
      <c r="X188" s="71" t="n">
        <f aca="false">MAX(0,X181-X182)</f>
        <v>0</v>
      </c>
      <c r="Y188" s="71" t="n">
        <f aca="false">MAX(0,Y181-Y182)</f>
        <v>0</v>
      </c>
      <c r="Z188" s="71" t="n">
        <f aca="false">MAX(0,Z181-Z182)</f>
        <v>0</v>
      </c>
      <c r="AA188" s="71" t="n">
        <f aca="false">MAX(0,AA181-AA182)</f>
        <v>0</v>
      </c>
      <c r="AB188" s="71" t="n">
        <f aca="false">MAX(0,AB181-AB182)</f>
        <v>0</v>
      </c>
    </row>
    <row r="190" customFormat="false" ht="15" hidden="false" customHeight="false" outlineLevel="0" collapsed="false">
      <c r="A190" s="22" t="s">
        <v>949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row>
    <row r="191" customFormat="false" ht="15" hidden="false" customHeight="false" outlineLevel="0" collapsed="false">
      <c r="A191" s="28" t="s">
        <v>905</v>
      </c>
      <c r="B191" s="58" t="s">
        <v>906</v>
      </c>
      <c r="E191" s="112" t="n">
        <f aca="false">MIN(1,MAX(0,(Assumptions!E$99-Project_Register!$T$17+1)/(Project_Register!$U$17-Project_Register!$T$17+1)))</f>
        <v>0</v>
      </c>
      <c r="F191" s="112" t="n">
        <f aca="false">MIN(1,MAX(0,(Assumptions!F$99-Project_Register!$T$17+1)/(Project_Register!$U$17-Project_Register!$T$17+1)))</f>
        <v>0</v>
      </c>
      <c r="G191" s="112" t="n">
        <f aca="false">MIN(1,MAX(0,(Assumptions!G$99-Project_Register!$T$17+1)/(Project_Register!$U$17-Project_Register!$T$17+1)))</f>
        <v>0</v>
      </c>
      <c r="H191" s="112" t="n">
        <f aca="false">MIN(1,MAX(0,(Assumptions!H$99-Project_Register!$T$17+1)/(Project_Register!$U$17-Project_Register!$T$17+1)))</f>
        <v>0</v>
      </c>
      <c r="I191" s="112" t="n">
        <f aca="false">MIN(1,MAX(0,(Assumptions!I$99-Project_Register!$T$17+1)/(Project_Register!$U$17-Project_Register!$T$17+1)))</f>
        <v>0</v>
      </c>
      <c r="J191" s="112" t="n">
        <f aca="false">MIN(1,MAX(0,(Assumptions!J$99-Project_Register!$T$17+1)/(Project_Register!$U$17-Project_Register!$T$17+1)))</f>
        <v>0</v>
      </c>
      <c r="K191" s="112" t="n">
        <f aca="false">MIN(1,MAX(0,(Assumptions!K$99-Project_Register!$T$17+1)/(Project_Register!$U$17-Project_Register!$T$17+1)))</f>
        <v>0</v>
      </c>
      <c r="L191" s="112" t="n">
        <f aca="false">MIN(1,MAX(0,(Assumptions!L$99-Project_Register!$T$17+1)/(Project_Register!$U$17-Project_Register!$T$17+1)))</f>
        <v>0</v>
      </c>
      <c r="M191" s="112" t="n">
        <f aca="false">MIN(1,MAX(0,(Assumptions!M$99-Project_Register!$T$17+1)/(Project_Register!$U$17-Project_Register!$T$17+1)))</f>
        <v>0</v>
      </c>
      <c r="N191" s="112" t="n">
        <f aca="false">MIN(1,MAX(0,(Assumptions!N$99-Project_Register!$T$17+1)/(Project_Register!$U$17-Project_Register!$T$17+1)))</f>
        <v>0</v>
      </c>
      <c r="O191" s="112" t="n">
        <f aca="false">MIN(1,MAX(0,(Assumptions!O$99-Project_Register!$T$17+1)/(Project_Register!$U$17-Project_Register!$T$17+1)))</f>
        <v>0.166666666666667</v>
      </c>
      <c r="P191" s="112" t="n">
        <f aca="false">MIN(1,MAX(0,(Assumptions!P$99-Project_Register!$T$17+1)/(Project_Register!$U$17-Project_Register!$T$17+1)))</f>
        <v>0.333333333333333</v>
      </c>
      <c r="Q191" s="112" t="n">
        <f aca="false">MIN(1,MAX(0,(Assumptions!Q$99-Project_Register!$T$17+1)/(Project_Register!$U$17-Project_Register!$T$17+1)))</f>
        <v>0.5</v>
      </c>
      <c r="R191" s="112" t="n">
        <f aca="false">MIN(1,MAX(0,(Assumptions!R$99-Project_Register!$T$17+1)/(Project_Register!$U$17-Project_Register!$T$17+1)))</f>
        <v>0.666666666666667</v>
      </c>
      <c r="S191" s="112" t="n">
        <f aca="false">MIN(1,MAX(0,(Assumptions!S$99-Project_Register!$T$17+1)/(Project_Register!$U$17-Project_Register!$T$17+1)))</f>
        <v>0.833333333333333</v>
      </c>
      <c r="T191" s="112" t="n">
        <f aca="false">MIN(1,MAX(0,(Assumptions!T$99-Project_Register!$T$17+1)/(Project_Register!$U$17-Project_Register!$T$17+1)))</f>
        <v>1</v>
      </c>
      <c r="U191" s="112" t="n">
        <f aca="false">MIN(1,MAX(0,(Assumptions!U$99-Project_Register!$T$17+1)/(Project_Register!$U$17-Project_Register!$T$17+1)))</f>
        <v>1</v>
      </c>
      <c r="V191" s="112" t="n">
        <f aca="false">MIN(1,MAX(0,(Assumptions!V$99-Project_Register!$T$17+1)/(Project_Register!$U$17-Project_Register!$T$17+1)))</f>
        <v>1</v>
      </c>
      <c r="W191" s="112" t="n">
        <f aca="false">MIN(1,MAX(0,(Assumptions!W$99-Project_Register!$T$17+1)/(Project_Register!$U$17-Project_Register!$T$17+1)))</f>
        <v>1</v>
      </c>
      <c r="X191" s="112" t="n">
        <f aca="false">MIN(1,MAX(0,(Assumptions!X$99-Project_Register!$T$17+1)/(Project_Register!$U$17-Project_Register!$T$17+1)))</f>
        <v>1</v>
      </c>
      <c r="Y191" s="112" t="n">
        <f aca="false">MIN(1,MAX(0,(Assumptions!Y$99-Project_Register!$T$17+1)/(Project_Register!$U$17-Project_Register!$T$17+1)))</f>
        <v>1</v>
      </c>
      <c r="Z191" s="112" t="n">
        <f aca="false">MIN(1,MAX(0,(Assumptions!Z$99-Project_Register!$T$17+1)/(Project_Register!$U$17-Project_Register!$T$17+1)))</f>
        <v>1</v>
      </c>
      <c r="AA191" s="112" t="n">
        <f aca="false">MIN(1,MAX(0,(Assumptions!AA$99-Project_Register!$T$17+1)/(Project_Register!$U$17-Project_Register!$T$17+1)))</f>
        <v>1</v>
      </c>
      <c r="AB191" s="112" t="n">
        <f aca="false">MIN(1,MAX(0,(Assumptions!AB$99-Project_Register!$T$17+1)/(Project_Register!$U$17-Project_Register!$T$17+1)))</f>
        <v>1</v>
      </c>
    </row>
    <row r="192" customFormat="false" ht="15" hidden="false" customHeight="false" outlineLevel="0" collapsed="false">
      <c r="A192" s="28" t="s">
        <v>907</v>
      </c>
      <c r="B192" s="58" t="s">
        <v>908</v>
      </c>
      <c r="E192" s="113" t="n">
        <f aca="false">3*E191^2-2*E191^3</f>
        <v>0</v>
      </c>
      <c r="F192" s="113" t="n">
        <f aca="false">3*F191^2-2*F191^3</f>
        <v>0</v>
      </c>
      <c r="G192" s="113" t="n">
        <f aca="false">3*G191^2-2*G191^3</f>
        <v>0</v>
      </c>
      <c r="H192" s="113" t="n">
        <f aca="false">3*H191^2-2*H191^3</f>
        <v>0</v>
      </c>
      <c r="I192" s="113" t="n">
        <f aca="false">3*I191^2-2*I191^3</f>
        <v>0</v>
      </c>
      <c r="J192" s="113" t="n">
        <f aca="false">3*J191^2-2*J191^3</f>
        <v>0</v>
      </c>
      <c r="K192" s="113" t="n">
        <f aca="false">3*K191^2-2*K191^3</f>
        <v>0</v>
      </c>
      <c r="L192" s="113" t="n">
        <f aca="false">3*L191^2-2*L191^3</f>
        <v>0</v>
      </c>
      <c r="M192" s="113" t="n">
        <f aca="false">3*M191^2-2*M191^3</f>
        <v>0</v>
      </c>
      <c r="N192" s="113" t="n">
        <f aca="false">3*N191^2-2*N191^3</f>
        <v>0</v>
      </c>
      <c r="O192" s="113" t="n">
        <f aca="false">3*O191^2-2*O191^3</f>
        <v>0.0740740740740741</v>
      </c>
      <c r="P192" s="113" t="n">
        <f aca="false">3*P191^2-2*P191^3</f>
        <v>0.259259259259259</v>
      </c>
      <c r="Q192" s="113" t="n">
        <f aca="false">3*Q191^2-2*Q191^3</f>
        <v>0.5</v>
      </c>
      <c r="R192" s="113" t="n">
        <f aca="false">3*R191^2-2*R191^3</f>
        <v>0.740740740740741</v>
      </c>
      <c r="S192" s="113" t="n">
        <f aca="false">3*S191^2-2*S191^3</f>
        <v>0.925925925925926</v>
      </c>
      <c r="T192" s="113" t="n">
        <f aca="false">3*T191^2-2*T191^3</f>
        <v>1</v>
      </c>
      <c r="U192" s="113" t="n">
        <f aca="false">3*U191^2-2*U191^3</f>
        <v>1</v>
      </c>
      <c r="V192" s="113" t="n">
        <f aca="false">3*V191^2-2*V191^3</f>
        <v>1</v>
      </c>
      <c r="W192" s="113" t="n">
        <f aca="false">3*W191^2-2*W191^3</f>
        <v>1</v>
      </c>
      <c r="X192" s="113" t="n">
        <f aca="false">3*X191^2-2*X191^3</f>
        <v>1</v>
      </c>
      <c r="Y192" s="113" t="n">
        <f aca="false">3*Y191^2-2*Y191^3</f>
        <v>1</v>
      </c>
      <c r="Z192" s="113" t="n">
        <f aca="false">3*Z191^2-2*Z191^3</f>
        <v>1</v>
      </c>
      <c r="AA192" s="113" t="n">
        <f aca="false">3*AA191^2-2*AA191^3</f>
        <v>1</v>
      </c>
      <c r="AB192" s="113" t="n">
        <f aca="false">3*AB191^2-2*AB191^3</f>
        <v>1</v>
      </c>
    </row>
    <row r="193" customFormat="false" ht="15" hidden="false" customHeight="false" outlineLevel="0" collapsed="false">
      <c r="A193" s="28" t="s">
        <v>909</v>
      </c>
      <c r="B193" s="58"/>
      <c r="E193" s="112" t="n">
        <f aca="false">3*MIN(1,MAX(0,(Assumptions!E$99-Project_Register!$T$17)/(Project_Register!$U$17-Project_Register!$T$17+1)))^2-2*MIN(1,MAX(0,(Assumptions!E$99-Project_Register!$T$17)/(Project_Register!$U$17-Project_Register!$T$17+1)))^3</f>
        <v>0</v>
      </c>
      <c r="F193" s="112" t="n">
        <f aca="false">3*MIN(1,MAX(0,(Assumptions!F$99-Project_Register!$T$17)/(Project_Register!$U$17-Project_Register!$T$17+1)))^2-2*MIN(1,MAX(0,(Assumptions!F$99-Project_Register!$T$17)/(Project_Register!$U$17-Project_Register!$T$17+1)))^3</f>
        <v>0</v>
      </c>
      <c r="G193" s="112" t="n">
        <f aca="false">3*MIN(1,MAX(0,(Assumptions!G$99-Project_Register!$T$17)/(Project_Register!$U$17-Project_Register!$T$17+1)))^2-2*MIN(1,MAX(0,(Assumptions!G$99-Project_Register!$T$17)/(Project_Register!$U$17-Project_Register!$T$17+1)))^3</f>
        <v>0</v>
      </c>
      <c r="H193" s="112" t="n">
        <f aca="false">3*MIN(1,MAX(0,(Assumptions!H$99-Project_Register!$T$17)/(Project_Register!$U$17-Project_Register!$T$17+1)))^2-2*MIN(1,MAX(0,(Assumptions!H$99-Project_Register!$T$17)/(Project_Register!$U$17-Project_Register!$T$17+1)))^3</f>
        <v>0</v>
      </c>
      <c r="I193" s="112" t="n">
        <f aca="false">3*MIN(1,MAX(0,(Assumptions!I$99-Project_Register!$T$17)/(Project_Register!$U$17-Project_Register!$T$17+1)))^2-2*MIN(1,MAX(0,(Assumptions!I$99-Project_Register!$T$17)/(Project_Register!$U$17-Project_Register!$T$17+1)))^3</f>
        <v>0</v>
      </c>
      <c r="J193" s="112" t="n">
        <f aca="false">3*MIN(1,MAX(0,(Assumptions!J$99-Project_Register!$T$17)/(Project_Register!$U$17-Project_Register!$T$17+1)))^2-2*MIN(1,MAX(0,(Assumptions!J$99-Project_Register!$T$17)/(Project_Register!$U$17-Project_Register!$T$17+1)))^3</f>
        <v>0</v>
      </c>
      <c r="K193" s="112" t="n">
        <f aca="false">3*MIN(1,MAX(0,(Assumptions!K$99-Project_Register!$T$17)/(Project_Register!$U$17-Project_Register!$T$17+1)))^2-2*MIN(1,MAX(0,(Assumptions!K$99-Project_Register!$T$17)/(Project_Register!$U$17-Project_Register!$T$17+1)))^3</f>
        <v>0</v>
      </c>
      <c r="L193" s="112" t="n">
        <f aca="false">3*MIN(1,MAX(0,(Assumptions!L$99-Project_Register!$T$17)/(Project_Register!$U$17-Project_Register!$T$17+1)))^2-2*MIN(1,MAX(0,(Assumptions!L$99-Project_Register!$T$17)/(Project_Register!$U$17-Project_Register!$T$17+1)))^3</f>
        <v>0</v>
      </c>
      <c r="M193" s="112" t="n">
        <f aca="false">3*MIN(1,MAX(0,(Assumptions!M$99-Project_Register!$T$17)/(Project_Register!$U$17-Project_Register!$T$17+1)))^2-2*MIN(1,MAX(0,(Assumptions!M$99-Project_Register!$T$17)/(Project_Register!$U$17-Project_Register!$T$17+1)))^3</f>
        <v>0</v>
      </c>
      <c r="N193" s="112" t="n">
        <f aca="false">3*MIN(1,MAX(0,(Assumptions!N$99-Project_Register!$T$17)/(Project_Register!$U$17-Project_Register!$T$17+1)))^2-2*MIN(1,MAX(0,(Assumptions!N$99-Project_Register!$T$17)/(Project_Register!$U$17-Project_Register!$T$17+1)))^3</f>
        <v>0</v>
      </c>
      <c r="O193" s="112" t="n">
        <f aca="false">3*MIN(1,MAX(0,(Assumptions!O$99-Project_Register!$T$17)/(Project_Register!$U$17-Project_Register!$T$17+1)))^2-2*MIN(1,MAX(0,(Assumptions!O$99-Project_Register!$T$17)/(Project_Register!$U$17-Project_Register!$T$17+1)))^3</f>
        <v>0</v>
      </c>
      <c r="P193" s="112" t="n">
        <f aca="false">3*MIN(1,MAX(0,(Assumptions!P$99-Project_Register!$T$17)/(Project_Register!$U$17-Project_Register!$T$17+1)))^2-2*MIN(1,MAX(0,(Assumptions!P$99-Project_Register!$T$17)/(Project_Register!$U$17-Project_Register!$T$17+1)))^3</f>
        <v>0.0740740740740741</v>
      </c>
      <c r="Q193" s="112" t="n">
        <f aca="false">3*MIN(1,MAX(0,(Assumptions!Q$99-Project_Register!$T$17)/(Project_Register!$U$17-Project_Register!$T$17+1)))^2-2*MIN(1,MAX(0,(Assumptions!Q$99-Project_Register!$T$17)/(Project_Register!$U$17-Project_Register!$T$17+1)))^3</f>
        <v>0.259259259259259</v>
      </c>
      <c r="R193" s="112" t="n">
        <f aca="false">3*MIN(1,MAX(0,(Assumptions!R$99-Project_Register!$T$17)/(Project_Register!$U$17-Project_Register!$T$17+1)))^2-2*MIN(1,MAX(0,(Assumptions!R$99-Project_Register!$T$17)/(Project_Register!$U$17-Project_Register!$T$17+1)))^3</f>
        <v>0.5</v>
      </c>
      <c r="S193" s="112" t="n">
        <f aca="false">3*MIN(1,MAX(0,(Assumptions!S$99-Project_Register!$T$17)/(Project_Register!$U$17-Project_Register!$T$17+1)))^2-2*MIN(1,MAX(0,(Assumptions!S$99-Project_Register!$T$17)/(Project_Register!$U$17-Project_Register!$T$17+1)))^3</f>
        <v>0.740740740740741</v>
      </c>
      <c r="T193" s="112" t="n">
        <f aca="false">3*MIN(1,MAX(0,(Assumptions!T$99-Project_Register!$T$17)/(Project_Register!$U$17-Project_Register!$T$17+1)))^2-2*MIN(1,MAX(0,(Assumptions!T$99-Project_Register!$T$17)/(Project_Register!$U$17-Project_Register!$T$17+1)))^3</f>
        <v>0.925925925925926</v>
      </c>
      <c r="U193" s="112" t="n">
        <f aca="false">3*MIN(1,MAX(0,(Assumptions!U$99-Project_Register!$T$17)/(Project_Register!$U$17-Project_Register!$T$17+1)))^2-2*MIN(1,MAX(0,(Assumptions!U$99-Project_Register!$T$17)/(Project_Register!$U$17-Project_Register!$T$17+1)))^3</f>
        <v>1</v>
      </c>
      <c r="V193" s="112" t="n">
        <f aca="false">3*MIN(1,MAX(0,(Assumptions!V$99-Project_Register!$T$17)/(Project_Register!$U$17-Project_Register!$T$17+1)))^2-2*MIN(1,MAX(0,(Assumptions!V$99-Project_Register!$T$17)/(Project_Register!$U$17-Project_Register!$T$17+1)))^3</f>
        <v>1</v>
      </c>
      <c r="W193" s="112" t="n">
        <f aca="false">3*MIN(1,MAX(0,(Assumptions!W$99-Project_Register!$T$17)/(Project_Register!$U$17-Project_Register!$T$17+1)))^2-2*MIN(1,MAX(0,(Assumptions!W$99-Project_Register!$T$17)/(Project_Register!$U$17-Project_Register!$T$17+1)))^3</f>
        <v>1</v>
      </c>
      <c r="X193" s="112" t="n">
        <f aca="false">3*MIN(1,MAX(0,(Assumptions!X$99-Project_Register!$T$17)/(Project_Register!$U$17-Project_Register!$T$17+1)))^2-2*MIN(1,MAX(0,(Assumptions!X$99-Project_Register!$T$17)/(Project_Register!$U$17-Project_Register!$T$17+1)))^3</f>
        <v>1</v>
      </c>
      <c r="Y193" s="112" t="n">
        <f aca="false">3*MIN(1,MAX(0,(Assumptions!Y$99-Project_Register!$T$17)/(Project_Register!$U$17-Project_Register!$T$17+1)))^2-2*MIN(1,MAX(0,(Assumptions!Y$99-Project_Register!$T$17)/(Project_Register!$U$17-Project_Register!$T$17+1)))^3</f>
        <v>1</v>
      </c>
      <c r="Z193" s="112" t="n">
        <f aca="false">3*MIN(1,MAX(0,(Assumptions!Z$99-Project_Register!$T$17)/(Project_Register!$U$17-Project_Register!$T$17+1)))^2-2*MIN(1,MAX(0,(Assumptions!Z$99-Project_Register!$T$17)/(Project_Register!$U$17-Project_Register!$T$17+1)))^3</f>
        <v>1</v>
      </c>
      <c r="AA193" s="112" t="n">
        <f aca="false">3*MIN(1,MAX(0,(Assumptions!AA$99-Project_Register!$T$17)/(Project_Register!$U$17-Project_Register!$T$17+1)))^2-2*MIN(1,MAX(0,(Assumptions!AA$99-Project_Register!$T$17)/(Project_Register!$U$17-Project_Register!$T$17+1)))^3</f>
        <v>1</v>
      </c>
      <c r="AB193" s="112" t="n">
        <f aca="false">3*MIN(1,MAX(0,(Assumptions!AB$99-Project_Register!$T$17)/(Project_Register!$U$17-Project_Register!$T$17+1)))^2-2*MIN(1,MAX(0,(Assumptions!AB$99-Project_Register!$T$17)/(Project_Register!$U$17-Project_Register!$T$17+1)))^3</f>
        <v>1</v>
      </c>
    </row>
    <row r="194" customFormat="false" ht="15" hidden="false" customHeight="false" outlineLevel="0" collapsed="false">
      <c r="A194" s="28" t="s">
        <v>802</v>
      </c>
      <c r="B194" s="58" t="s">
        <v>910</v>
      </c>
      <c r="C194" s="66" t="n">
        <f aca="false">SUM(E194:P194)</f>
        <v>194.444444444444</v>
      </c>
      <c r="D194" s="66" t="n">
        <f aca="false">SUM(Q194:AB194)</f>
        <v>555.555555555556</v>
      </c>
      <c r="E194" s="67" t="n">
        <f aca="false">IF(E$5="A",0,IF((Project_Register!$AA$17-Project_Register!$X$17)&lt;=0,0,IF(1-Project_Register!$AC$17&lt;=0.000001,IF(Assumptions!E$99=Assumptions!$C$10+1,(Project_Register!$AA$17-Project_Register!$X$17),0),(Project_Register!$AA$17-Project_Register!$X$17)*(E192-E193)/(1-Project_Register!$AC$17))))</f>
        <v>0</v>
      </c>
      <c r="F194" s="67" t="n">
        <f aca="false">IF(F$5="A",0,IF((Project_Register!$AA$17-Project_Register!$X$17)&lt;=0,0,IF(1-Project_Register!$AC$17&lt;=0.000001,IF(Assumptions!F$99=Assumptions!$C$10+1,(Project_Register!$AA$17-Project_Register!$X$17),0),(Project_Register!$AA$17-Project_Register!$X$17)*(F192-F193)/(1-Project_Register!$AC$17))))</f>
        <v>0</v>
      </c>
      <c r="G194" s="67" t="n">
        <f aca="false">IF(G$5="A",0,IF((Project_Register!$AA$17-Project_Register!$X$17)&lt;=0,0,IF(1-Project_Register!$AC$17&lt;=0.000001,IF(Assumptions!G$99=Assumptions!$C$10+1,(Project_Register!$AA$17-Project_Register!$X$17),0),(Project_Register!$AA$17-Project_Register!$X$17)*(G192-G193)/(1-Project_Register!$AC$17))))</f>
        <v>0</v>
      </c>
      <c r="H194" s="67" t="n">
        <f aca="false">IF(H$5="A",0,IF((Project_Register!$AA$17-Project_Register!$X$17)&lt;=0,0,IF(1-Project_Register!$AC$17&lt;=0.000001,IF(Assumptions!H$99=Assumptions!$C$10+1,(Project_Register!$AA$17-Project_Register!$X$17),0),(Project_Register!$AA$17-Project_Register!$X$17)*(H192-H193)/(1-Project_Register!$AC$17))))</f>
        <v>0</v>
      </c>
      <c r="I194" s="67" t="n">
        <f aca="false">IF(I$5="A",0,IF((Project_Register!$AA$17-Project_Register!$X$17)&lt;=0,0,IF(1-Project_Register!$AC$17&lt;=0.000001,IF(Assumptions!I$99=Assumptions!$C$10+1,(Project_Register!$AA$17-Project_Register!$X$17),0),(Project_Register!$AA$17-Project_Register!$X$17)*(I192-I193)/(1-Project_Register!$AC$17))))</f>
        <v>0</v>
      </c>
      <c r="J194" s="67" t="n">
        <f aca="false">IF(J$5="A",0,IF((Project_Register!$AA$17-Project_Register!$X$17)&lt;=0,0,IF(1-Project_Register!$AC$17&lt;=0.000001,IF(Assumptions!J$99=Assumptions!$C$10+1,(Project_Register!$AA$17-Project_Register!$X$17),0),(Project_Register!$AA$17-Project_Register!$X$17)*(J192-J193)/(1-Project_Register!$AC$17))))</f>
        <v>0</v>
      </c>
      <c r="K194" s="67" t="n">
        <f aca="false">IF(K$5="A",0,IF((Project_Register!$AA$17-Project_Register!$X$17)&lt;=0,0,IF(1-Project_Register!$AC$17&lt;=0.000001,IF(Assumptions!K$99=Assumptions!$C$10+1,(Project_Register!$AA$17-Project_Register!$X$17),0),(Project_Register!$AA$17-Project_Register!$X$17)*(K192-K193)/(1-Project_Register!$AC$17))))</f>
        <v>0</v>
      </c>
      <c r="L194" s="67" t="n">
        <f aca="false">IF(L$5="A",0,IF((Project_Register!$AA$17-Project_Register!$X$17)&lt;=0,0,IF(1-Project_Register!$AC$17&lt;=0.000001,IF(Assumptions!L$99=Assumptions!$C$10+1,(Project_Register!$AA$17-Project_Register!$X$17),0),(Project_Register!$AA$17-Project_Register!$X$17)*(L192-L193)/(1-Project_Register!$AC$17))))</f>
        <v>0</v>
      </c>
      <c r="M194" s="67" t="n">
        <f aca="false">IF(M$5="A",0,IF((Project_Register!$AA$17-Project_Register!$X$17)&lt;=0,0,IF(1-Project_Register!$AC$17&lt;=0.000001,IF(Assumptions!M$99=Assumptions!$C$10+1,(Project_Register!$AA$17-Project_Register!$X$17),0),(Project_Register!$AA$17-Project_Register!$X$17)*(M192-M193)/(1-Project_Register!$AC$17))))</f>
        <v>0</v>
      </c>
      <c r="N194" s="67" t="n">
        <f aca="false">IF(N$5="A",0,IF((Project_Register!$AA$17-Project_Register!$X$17)&lt;=0,0,IF(1-Project_Register!$AC$17&lt;=0.000001,IF(Assumptions!N$99=Assumptions!$C$10+1,(Project_Register!$AA$17-Project_Register!$X$17),0),(Project_Register!$AA$17-Project_Register!$X$17)*(N192-N193)/(1-Project_Register!$AC$17))))</f>
        <v>0</v>
      </c>
      <c r="O194" s="67" t="n">
        <f aca="false">IF(O$5="A",0,IF((Project_Register!$AA$17-Project_Register!$X$17)&lt;=0,0,IF(1-Project_Register!$AC$17&lt;=0.000001,IF(Assumptions!O$99=Assumptions!$C$10+1,(Project_Register!$AA$17-Project_Register!$X$17),0),(Project_Register!$AA$17-Project_Register!$X$17)*(O192-O193)/(1-Project_Register!$AC$17))))</f>
        <v>55.5555555555556</v>
      </c>
      <c r="P194" s="67" t="n">
        <f aca="false">IF(P$5="A",0,IF((Project_Register!$AA$17-Project_Register!$X$17)&lt;=0,0,IF(1-Project_Register!$AC$17&lt;=0.000001,IF(Assumptions!P$99=Assumptions!$C$10+1,(Project_Register!$AA$17-Project_Register!$X$17),0),(Project_Register!$AA$17-Project_Register!$X$17)*(P192-P193)/(1-Project_Register!$AC$17))))</f>
        <v>138.888888888889</v>
      </c>
      <c r="Q194" s="67" t="n">
        <f aca="false">IF(Q$5="A",0,IF((Project_Register!$AA$17-Project_Register!$X$17)&lt;=0,0,IF(1-Project_Register!$AC$17&lt;=0.000001,IF(Assumptions!Q$99=Assumptions!$C$10+1,(Project_Register!$AA$17-Project_Register!$X$17),0),(Project_Register!$AA$17-Project_Register!$X$17)*(Q192-Q193)/(1-Project_Register!$AC$17))))</f>
        <v>180.555555555556</v>
      </c>
      <c r="R194" s="67" t="n">
        <f aca="false">IF(R$5="A",0,IF((Project_Register!$AA$17-Project_Register!$X$17)&lt;=0,0,IF(1-Project_Register!$AC$17&lt;=0.000001,IF(Assumptions!R$99=Assumptions!$C$10+1,(Project_Register!$AA$17-Project_Register!$X$17),0),(Project_Register!$AA$17-Project_Register!$X$17)*(R192-R193)/(1-Project_Register!$AC$17))))</f>
        <v>180.555555555556</v>
      </c>
      <c r="S194" s="67" t="n">
        <f aca="false">IF(S$5="A",0,IF((Project_Register!$AA$17-Project_Register!$X$17)&lt;=0,0,IF(1-Project_Register!$AC$17&lt;=0.000001,IF(Assumptions!S$99=Assumptions!$C$10+1,(Project_Register!$AA$17-Project_Register!$X$17),0),(Project_Register!$AA$17-Project_Register!$X$17)*(S192-S193)/(1-Project_Register!$AC$17))))</f>
        <v>138.888888888889</v>
      </c>
      <c r="T194" s="67" t="n">
        <f aca="false">IF(T$5="A",0,IF((Project_Register!$AA$17-Project_Register!$X$17)&lt;=0,0,IF(1-Project_Register!$AC$17&lt;=0.000001,IF(Assumptions!T$99=Assumptions!$C$10+1,(Project_Register!$AA$17-Project_Register!$X$17),0),(Project_Register!$AA$17-Project_Register!$X$17)*(T192-T193)/(1-Project_Register!$AC$17))))</f>
        <v>55.5555555555556</v>
      </c>
      <c r="U194" s="67" t="n">
        <f aca="false">IF(U$5="A",0,IF((Project_Register!$AA$17-Project_Register!$X$17)&lt;=0,0,IF(1-Project_Register!$AC$17&lt;=0.000001,IF(Assumptions!U$99=Assumptions!$C$10+1,(Project_Register!$AA$17-Project_Register!$X$17),0),(Project_Register!$AA$17-Project_Register!$X$17)*(U192-U193)/(1-Project_Register!$AC$17))))</f>
        <v>0</v>
      </c>
      <c r="V194" s="67" t="n">
        <f aca="false">IF(V$5="A",0,IF((Project_Register!$AA$17-Project_Register!$X$17)&lt;=0,0,IF(1-Project_Register!$AC$17&lt;=0.000001,IF(Assumptions!V$99=Assumptions!$C$10+1,(Project_Register!$AA$17-Project_Register!$X$17),0),(Project_Register!$AA$17-Project_Register!$X$17)*(V192-V193)/(1-Project_Register!$AC$17))))</f>
        <v>0</v>
      </c>
      <c r="W194" s="67" t="n">
        <f aca="false">IF(W$5="A",0,IF((Project_Register!$AA$17-Project_Register!$X$17)&lt;=0,0,IF(1-Project_Register!$AC$17&lt;=0.000001,IF(Assumptions!W$99=Assumptions!$C$10+1,(Project_Register!$AA$17-Project_Register!$X$17),0),(Project_Register!$AA$17-Project_Register!$X$17)*(W192-W193)/(1-Project_Register!$AC$17))))</f>
        <v>0</v>
      </c>
      <c r="X194" s="67" t="n">
        <f aca="false">IF(X$5="A",0,IF((Project_Register!$AA$17-Project_Register!$X$17)&lt;=0,0,IF(1-Project_Register!$AC$17&lt;=0.000001,IF(Assumptions!X$99=Assumptions!$C$10+1,(Project_Register!$AA$17-Project_Register!$X$17),0),(Project_Register!$AA$17-Project_Register!$X$17)*(X192-X193)/(1-Project_Register!$AC$17))))</f>
        <v>0</v>
      </c>
      <c r="Y194" s="67" t="n">
        <f aca="false">IF(Y$5="A",0,IF((Project_Register!$AA$17-Project_Register!$X$17)&lt;=0,0,IF(1-Project_Register!$AC$17&lt;=0.000001,IF(Assumptions!Y$99=Assumptions!$C$10+1,(Project_Register!$AA$17-Project_Register!$X$17),0),(Project_Register!$AA$17-Project_Register!$X$17)*(Y192-Y193)/(1-Project_Register!$AC$17))))</f>
        <v>0</v>
      </c>
      <c r="Z194" s="67" t="n">
        <f aca="false">IF(Z$5="A",0,IF((Project_Register!$AA$17-Project_Register!$X$17)&lt;=0,0,IF(1-Project_Register!$AC$17&lt;=0.000001,IF(Assumptions!Z$99=Assumptions!$C$10+1,(Project_Register!$AA$17-Project_Register!$X$17),0),(Project_Register!$AA$17-Project_Register!$X$17)*(Z192-Z193)/(1-Project_Register!$AC$17))))</f>
        <v>0</v>
      </c>
      <c r="AA194" s="67" t="n">
        <f aca="false">IF(AA$5="A",0,IF((Project_Register!$AA$17-Project_Register!$X$17)&lt;=0,0,IF(1-Project_Register!$AC$17&lt;=0.000001,IF(Assumptions!AA$99=Assumptions!$C$10+1,(Project_Register!$AA$17-Project_Register!$X$17),0),(Project_Register!$AA$17-Project_Register!$X$17)*(AA192-AA193)/(1-Project_Register!$AC$17))))</f>
        <v>0</v>
      </c>
      <c r="AB194" s="67" t="n">
        <f aca="false">IF(AB$5="A",0,IF((Project_Register!$AA$17-Project_Register!$X$17)&lt;=0,0,IF(1-Project_Register!$AC$17&lt;=0.000001,IF(Assumptions!AB$99=Assumptions!$C$10+1,(Project_Register!$AA$17-Project_Register!$X$17),0),(Project_Register!$AA$17-Project_Register!$X$17)*(AB192-AB193)/(1-Project_Register!$AC$17))))</f>
        <v>0</v>
      </c>
    </row>
    <row r="195" customFormat="false" ht="15" hidden="false" customHeight="false" outlineLevel="0" collapsed="false">
      <c r="A195" s="28" t="s">
        <v>911</v>
      </c>
      <c r="B195" s="58" t="s">
        <v>912</v>
      </c>
      <c r="C195" s="66" t="n">
        <f aca="false">P195</f>
        <v>194.444444444444</v>
      </c>
      <c r="D195" s="66" t="n">
        <f aca="false">AB195</f>
        <v>750</v>
      </c>
      <c r="E195" s="67" t="n">
        <f aca="false">Project_Register!$P$17+E194</f>
        <v>0</v>
      </c>
      <c r="F195" s="72" t="n">
        <f aca="false">E195+F194</f>
        <v>0</v>
      </c>
      <c r="G195" s="72" t="n">
        <f aca="false">F195+G194</f>
        <v>0</v>
      </c>
      <c r="H195" s="72" t="n">
        <f aca="false">G195+H194</f>
        <v>0</v>
      </c>
      <c r="I195" s="72" t="n">
        <f aca="false">H195+I194</f>
        <v>0</v>
      </c>
      <c r="J195" s="72" t="n">
        <f aca="false">I195+J194</f>
        <v>0</v>
      </c>
      <c r="K195" s="72" t="n">
        <f aca="false">J195+K194</f>
        <v>0</v>
      </c>
      <c r="L195" s="72" t="n">
        <f aca="false">K195+L194</f>
        <v>0</v>
      </c>
      <c r="M195" s="72" t="n">
        <f aca="false">L195+M194</f>
        <v>0</v>
      </c>
      <c r="N195" s="72" t="n">
        <f aca="false">M195+N194</f>
        <v>0</v>
      </c>
      <c r="O195" s="72" t="n">
        <f aca="false">N195+O194</f>
        <v>55.5555555555556</v>
      </c>
      <c r="P195" s="72" t="n">
        <f aca="false">O195+P194</f>
        <v>194.444444444444</v>
      </c>
      <c r="Q195" s="72" t="n">
        <f aca="false">P195+Q194</f>
        <v>375</v>
      </c>
      <c r="R195" s="72" t="n">
        <f aca="false">Q195+R194</f>
        <v>555.555555555556</v>
      </c>
      <c r="S195" s="72" t="n">
        <f aca="false">R195+S194</f>
        <v>694.444444444444</v>
      </c>
      <c r="T195" s="72" t="n">
        <f aca="false">S195+T194</f>
        <v>750</v>
      </c>
      <c r="U195" s="72" t="n">
        <f aca="false">T195+U194</f>
        <v>750</v>
      </c>
      <c r="V195" s="72" t="n">
        <f aca="false">U195+V194</f>
        <v>750</v>
      </c>
      <c r="W195" s="72" t="n">
        <f aca="false">V195+W194</f>
        <v>750</v>
      </c>
      <c r="X195" s="72" t="n">
        <f aca="false">W195+X194</f>
        <v>750</v>
      </c>
      <c r="Y195" s="72" t="n">
        <f aca="false">X195+Y194</f>
        <v>750</v>
      </c>
      <c r="Z195" s="72" t="n">
        <f aca="false">Y195+Z194</f>
        <v>750</v>
      </c>
      <c r="AA195" s="72" t="n">
        <f aca="false">Z195+AA194</f>
        <v>750</v>
      </c>
      <c r="AB195" s="72" t="n">
        <f aca="false">AA195+AB194</f>
        <v>750</v>
      </c>
    </row>
    <row r="196" customFormat="false" ht="15" hidden="false" customHeight="false" outlineLevel="0" collapsed="false">
      <c r="A196" s="28" t="s">
        <v>913</v>
      </c>
      <c r="B196" s="58" t="s">
        <v>914</v>
      </c>
      <c r="C196" s="66" t="n">
        <f aca="false">P196</f>
        <v>750</v>
      </c>
      <c r="D196" s="66" t="n">
        <f aca="false">AB196</f>
        <v>750</v>
      </c>
      <c r="E196" s="67" t="n">
        <f aca="false">IF(E$5="A",Project_Register!$AA$17,Project_Register!$AA$17)</f>
        <v>750</v>
      </c>
      <c r="F196" s="67" t="n">
        <f aca="false">IF(F$5="A",Project_Register!$AA$17,Project_Register!$AA$17)</f>
        <v>750</v>
      </c>
      <c r="G196" s="67" t="n">
        <f aca="false">IF(G$5="A",Project_Register!$AA$17,Project_Register!$AA$17)</f>
        <v>750</v>
      </c>
      <c r="H196" s="67" t="n">
        <f aca="false">IF(H$5="A",Project_Register!$AA$17,Project_Register!$AA$17)</f>
        <v>750</v>
      </c>
      <c r="I196" s="67" t="n">
        <f aca="false">IF(I$5="A",Project_Register!$AA$17,Project_Register!$AA$17)</f>
        <v>750</v>
      </c>
      <c r="J196" s="67" t="n">
        <f aca="false">IF(J$5="A",Project_Register!$AA$17,Project_Register!$AA$17)</f>
        <v>750</v>
      </c>
      <c r="K196" s="67" t="n">
        <f aca="false">IF(K$5="A",Project_Register!$AA$17,Project_Register!$AA$17)</f>
        <v>750</v>
      </c>
      <c r="L196" s="67" t="n">
        <f aca="false">IF(L$5="A",Project_Register!$AA$17,Project_Register!$AA$17)</f>
        <v>750</v>
      </c>
      <c r="M196" s="67" t="n">
        <f aca="false">IF(M$5="A",Project_Register!$AA$17,Project_Register!$AA$17)</f>
        <v>750</v>
      </c>
      <c r="N196" s="67" t="n">
        <f aca="false">IF(N$5="A",Project_Register!$AA$17,Project_Register!$AA$17)</f>
        <v>750</v>
      </c>
      <c r="O196" s="67" t="n">
        <f aca="false">IF(O$5="A",Project_Register!$AA$17,Project_Register!$AA$17)</f>
        <v>750</v>
      </c>
      <c r="P196" s="67" t="n">
        <f aca="false">IF(P$5="A",Project_Register!$AA$17,Project_Register!$AA$17)</f>
        <v>750</v>
      </c>
      <c r="Q196" s="67" t="n">
        <f aca="false">IF(Q$5="A",Project_Register!$AA$17,Project_Register!$AA$17)</f>
        <v>750</v>
      </c>
      <c r="R196" s="67" t="n">
        <f aca="false">IF(R$5="A",Project_Register!$AA$17,Project_Register!$AA$17)</f>
        <v>750</v>
      </c>
      <c r="S196" s="67" t="n">
        <f aca="false">IF(S$5="A",Project_Register!$AA$17,Project_Register!$AA$17)</f>
        <v>750</v>
      </c>
      <c r="T196" s="67" t="n">
        <f aca="false">IF(T$5="A",Project_Register!$AA$17,Project_Register!$AA$17)</f>
        <v>750</v>
      </c>
      <c r="U196" s="67" t="n">
        <f aca="false">IF(U$5="A",Project_Register!$AA$17,Project_Register!$AA$17)</f>
        <v>750</v>
      </c>
      <c r="V196" s="67" t="n">
        <f aca="false">IF(V$5="A",Project_Register!$AA$17,Project_Register!$AA$17)</f>
        <v>750</v>
      </c>
      <c r="W196" s="67" t="n">
        <f aca="false">IF(W$5="A",Project_Register!$AA$17,Project_Register!$AA$17)</f>
        <v>750</v>
      </c>
      <c r="X196" s="67" t="n">
        <f aca="false">IF(X$5="A",Project_Register!$AA$17,Project_Register!$AA$17)</f>
        <v>750</v>
      </c>
      <c r="Y196" s="67" t="n">
        <f aca="false">IF(Y$5="A",Project_Register!$AA$17,Project_Register!$AA$17)</f>
        <v>750</v>
      </c>
      <c r="Z196" s="67" t="n">
        <f aca="false">IF(Z$5="A",Project_Register!$AA$17,Project_Register!$AA$17)</f>
        <v>750</v>
      </c>
      <c r="AA196" s="67" t="n">
        <f aca="false">IF(AA$5="A",Project_Register!$AA$17,Project_Register!$AA$17)</f>
        <v>750</v>
      </c>
      <c r="AB196" s="67" t="n">
        <f aca="false">IF(AB$5="A",Project_Register!$AA$17,Project_Register!$AA$17)</f>
        <v>750</v>
      </c>
    </row>
    <row r="197" customFormat="false" ht="15" hidden="false" customHeight="false" outlineLevel="0" collapsed="false">
      <c r="A197" s="28" t="s">
        <v>915</v>
      </c>
      <c r="B197" s="58" t="s">
        <v>916</v>
      </c>
      <c r="C197" s="61" t="n">
        <f aca="false">P197</f>
        <v>0.259259259259259</v>
      </c>
      <c r="D197" s="61" t="n">
        <f aca="false">AB197</f>
        <v>1</v>
      </c>
      <c r="E197" s="62" t="n">
        <f aca="false">IF(E196&lt;=0,0,MIN(1,E195/E196))</f>
        <v>0</v>
      </c>
      <c r="F197" s="62" t="n">
        <f aca="false">IF(F196&lt;=0,0,MIN(1,F195/F196))</f>
        <v>0</v>
      </c>
      <c r="G197" s="62" t="n">
        <f aca="false">IF(G196&lt;=0,0,MIN(1,G195/G196))</f>
        <v>0</v>
      </c>
      <c r="H197" s="62" t="n">
        <f aca="false">IF(H196&lt;=0,0,MIN(1,H195/H196))</f>
        <v>0</v>
      </c>
      <c r="I197" s="62" t="n">
        <f aca="false">IF(I196&lt;=0,0,MIN(1,I195/I196))</f>
        <v>0</v>
      </c>
      <c r="J197" s="62" t="n">
        <f aca="false">IF(J196&lt;=0,0,MIN(1,J195/J196))</f>
        <v>0</v>
      </c>
      <c r="K197" s="62" t="n">
        <f aca="false">IF(K196&lt;=0,0,MIN(1,K195/K196))</f>
        <v>0</v>
      </c>
      <c r="L197" s="62" t="n">
        <f aca="false">IF(L196&lt;=0,0,MIN(1,L195/L196))</f>
        <v>0</v>
      </c>
      <c r="M197" s="62" t="n">
        <f aca="false">IF(M196&lt;=0,0,MIN(1,M195/M196))</f>
        <v>0</v>
      </c>
      <c r="N197" s="62" t="n">
        <f aca="false">IF(N196&lt;=0,0,MIN(1,N195/N196))</f>
        <v>0</v>
      </c>
      <c r="O197" s="62" t="n">
        <f aca="false">IF(O196&lt;=0,0,MIN(1,O195/O196))</f>
        <v>0.0740740740740741</v>
      </c>
      <c r="P197" s="62" t="n">
        <f aca="false">IF(P196&lt;=0,0,MIN(1,P195/P196))</f>
        <v>0.259259259259259</v>
      </c>
      <c r="Q197" s="62" t="n">
        <f aca="false">IF(Q196&lt;=0,0,MIN(1,Q195/Q196))</f>
        <v>0.5</v>
      </c>
      <c r="R197" s="62" t="n">
        <f aca="false">IF(R196&lt;=0,0,MIN(1,R195/R196))</f>
        <v>0.740740740740741</v>
      </c>
      <c r="S197" s="62" t="n">
        <f aca="false">IF(S196&lt;=0,0,MIN(1,S195/S196))</f>
        <v>0.925925925925926</v>
      </c>
      <c r="T197" s="62" t="n">
        <f aca="false">IF(T196&lt;=0,0,MIN(1,T195/T196))</f>
        <v>1</v>
      </c>
      <c r="U197" s="62" t="n">
        <f aca="false">IF(U196&lt;=0,0,MIN(1,U195/U196))</f>
        <v>1</v>
      </c>
      <c r="V197" s="62" t="n">
        <f aca="false">IF(V196&lt;=0,0,MIN(1,V195/V196))</f>
        <v>1</v>
      </c>
      <c r="W197" s="62" t="n">
        <f aca="false">IF(W196&lt;=0,0,MIN(1,W195/W196))</f>
        <v>1</v>
      </c>
      <c r="X197" s="62" t="n">
        <f aca="false">IF(X196&lt;=0,0,MIN(1,X195/X196))</f>
        <v>1</v>
      </c>
      <c r="Y197" s="62" t="n">
        <f aca="false">IF(Y196&lt;=0,0,MIN(1,Y195/Y196))</f>
        <v>1</v>
      </c>
      <c r="Z197" s="62" t="n">
        <f aca="false">IF(Z196&lt;=0,0,MIN(1,Z195/Z196))</f>
        <v>1</v>
      </c>
      <c r="AA197" s="62" t="n">
        <f aca="false">IF(AA196&lt;=0,0,MIN(1,AA195/AA196))</f>
        <v>1</v>
      </c>
      <c r="AB197" s="62" t="n">
        <f aca="false">IF(AB196&lt;=0,0,MIN(1,AB195/AB196))</f>
        <v>1</v>
      </c>
    </row>
    <row r="198" customFormat="false" ht="15" hidden="false" customHeight="false" outlineLevel="0" collapsed="false">
      <c r="A198" s="28" t="s">
        <v>917</v>
      </c>
      <c r="B198" s="58" t="s">
        <v>918</v>
      </c>
      <c r="C198" s="59" t="n">
        <f aca="false">P198</f>
        <v>80000</v>
      </c>
      <c r="D198" s="59" t="n">
        <f aca="false">AB198</f>
        <v>80000</v>
      </c>
      <c r="E198" s="60" t="n">
        <f aca="false">IF(E$5="A",0,Project_Register!$W$17)</f>
        <v>0</v>
      </c>
      <c r="F198" s="60" t="n">
        <f aca="false">IF(F$5="A",0,Project_Register!$W$17)</f>
        <v>0</v>
      </c>
      <c r="G198" s="60" t="n">
        <f aca="false">IF(G$5="A",0,Project_Register!$W$17)</f>
        <v>0</v>
      </c>
      <c r="H198" s="60" t="n">
        <f aca="false">IF(H$5="A",0,Project_Register!$W$17)</f>
        <v>0</v>
      </c>
      <c r="I198" s="60" t="n">
        <f aca="false">IF(I$5="A",0,Project_Register!$W$17)</f>
        <v>0</v>
      </c>
      <c r="J198" s="60" t="n">
        <f aca="false">IF(J$5="A",0,Project_Register!$W$17)</f>
        <v>0</v>
      </c>
      <c r="K198" s="60" t="n">
        <f aca="false">IF(K$5="A",0,Project_Register!$W$17)</f>
        <v>0</v>
      </c>
      <c r="L198" s="60" t="n">
        <f aca="false">IF(L$5="A",0,Project_Register!$W$17)</f>
        <v>0</v>
      </c>
      <c r="M198" s="60" t="n">
        <f aca="false">IF(M$5="A",0,Project_Register!$W$17)</f>
        <v>80000</v>
      </c>
      <c r="N198" s="60" t="n">
        <f aca="false">IF(N$5="A",0,Project_Register!$W$17)</f>
        <v>80000</v>
      </c>
      <c r="O198" s="60" t="n">
        <f aca="false">IF(O$5="A",0,Project_Register!$W$17)</f>
        <v>80000</v>
      </c>
      <c r="P198" s="60" t="n">
        <f aca="false">IF(P$5="A",0,Project_Register!$W$17)</f>
        <v>80000</v>
      </c>
      <c r="Q198" s="60" t="n">
        <f aca="false">IF(Q$5="A",0,Project_Register!$W$17)</f>
        <v>80000</v>
      </c>
      <c r="R198" s="60" t="n">
        <f aca="false">IF(R$5="A",0,Project_Register!$W$17)</f>
        <v>80000</v>
      </c>
      <c r="S198" s="60" t="n">
        <f aca="false">IF(S$5="A",0,Project_Register!$W$17)</f>
        <v>80000</v>
      </c>
      <c r="T198" s="60" t="n">
        <f aca="false">IF(T$5="A",0,Project_Register!$W$17)</f>
        <v>80000</v>
      </c>
      <c r="U198" s="60" t="n">
        <f aca="false">IF(U$5="A",0,Project_Register!$W$17)</f>
        <v>80000</v>
      </c>
      <c r="V198" s="60" t="n">
        <f aca="false">IF(V$5="A",0,Project_Register!$W$17)</f>
        <v>80000</v>
      </c>
      <c r="W198" s="60" t="n">
        <f aca="false">IF(W$5="A",0,Project_Register!$W$17)</f>
        <v>80000</v>
      </c>
      <c r="X198" s="60" t="n">
        <f aca="false">IF(X$5="A",0,Project_Register!$W$17)</f>
        <v>80000</v>
      </c>
      <c r="Y198" s="60" t="n">
        <f aca="false">IF(Y$5="A",0,Project_Register!$W$17)</f>
        <v>80000</v>
      </c>
      <c r="Z198" s="60" t="n">
        <f aca="false">IF(Z$5="A",0,Project_Register!$W$17)</f>
        <v>80000</v>
      </c>
      <c r="AA198" s="60" t="n">
        <f aca="false">IF(AA$5="A",0,Project_Register!$W$17)</f>
        <v>80000</v>
      </c>
      <c r="AB198" s="60" t="n">
        <f aca="false">IF(AB$5="A",0,Project_Register!$W$17)</f>
        <v>80000</v>
      </c>
    </row>
    <row r="199" customFormat="false" ht="15" hidden="false" customHeight="false" outlineLevel="0" collapsed="false">
      <c r="A199" s="28" t="s">
        <v>919</v>
      </c>
      <c r="B199" s="58" t="s">
        <v>920</v>
      </c>
      <c r="C199" s="59" t="n">
        <f aca="false">P199</f>
        <v>20740.7407407407</v>
      </c>
      <c r="D199" s="59" t="n">
        <f aca="false">AB199</f>
        <v>80000</v>
      </c>
      <c r="E199" s="60" t="n">
        <f aca="false">IF(E$5="A",Project_Register!$Q$17+0,E197*E198)</f>
        <v>0</v>
      </c>
      <c r="F199" s="71" t="n">
        <f aca="false">IF(F$5="A",E199+0,F197*F198)</f>
        <v>0</v>
      </c>
      <c r="G199" s="71" t="n">
        <f aca="false">IF(G$5="A",F199+0,G197*G198)</f>
        <v>0</v>
      </c>
      <c r="H199" s="71" t="n">
        <f aca="false">IF(H$5="A",G199+0,H197*H198)</f>
        <v>0</v>
      </c>
      <c r="I199" s="71" t="n">
        <f aca="false">IF(I$5="A",H199+0,I197*I198)</f>
        <v>0</v>
      </c>
      <c r="J199" s="71" t="n">
        <f aca="false">IF(J$5="A",I199+0,J197*J198)</f>
        <v>0</v>
      </c>
      <c r="K199" s="71" t="n">
        <f aca="false">IF(K$5="A",J199+0,K197*K198)</f>
        <v>0</v>
      </c>
      <c r="L199" s="71" t="n">
        <f aca="false">IF(L$5="A",K199+0,L197*L198)</f>
        <v>0</v>
      </c>
      <c r="M199" s="71" t="n">
        <f aca="false">IF(M$5="A",L199+0,M197*M198)</f>
        <v>0</v>
      </c>
      <c r="N199" s="71" t="n">
        <f aca="false">IF(N$5="A",M199+0,N197*N198)</f>
        <v>0</v>
      </c>
      <c r="O199" s="71" t="n">
        <f aca="false">IF(O$5="A",N199+0,O197*O198)</f>
        <v>5925.92592592593</v>
      </c>
      <c r="P199" s="71" t="n">
        <f aca="false">IF(P$5="A",O199+0,P197*P198)</f>
        <v>20740.7407407407</v>
      </c>
      <c r="Q199" s="71" t="n">
        <f aca="false">IF(Q$5="A",P199+0,Q197*Q198)</f>
        <v>40000</v>
      </c>
      <c r="R199" s="71" t="n">
        <f aca="false">IF(R$5="A",Q199+0,R197*R198)</f>
        <v>59259.2592592593</v>
      </c>
      <c r="S199" s="71" t="n">
        <f aca="false">IF(S$5="A",R199+0,S197*S198)</f>
        <v>74074.0740740741</v>
      </c>
      <c r="T199" s="71" t="n">
        <f aca="false">IF(T$5="A",S199+0,T197*T198)</f>
        <v>80000</v>
      </c>
      <c r="U199" s="71" t="n">
        <f aca="false">IF(U$5="A",T199+0,U197*U198)</f>
        <v>80000</v>
      </c>
      <c r="V199" s="71" t="n">
        <f aca="false">IF(V$5="A",U199+0,V197*V198)</f>
        <v>80000</v>
      </c>
      <c r="W199" s="71" t="n">
        <f aca="false">IF(W$5="A",V199+0,W197*W198)</f>
        <v>80000</v>
      </c>
      <c r="X199" s="71" t="n">
        <f aca="false">IF(X$5="A",W199+0,X197*X198)</f>
        <v>80000</v>
      </c>
      <c r="Y199" s="71" t="n">
        <f aca="false">IF(Y$5="A",X199+0,Y197*Y198)</f>
        <v>80000</v>
      </c>
      <c r="Z199" s="71" t="n">
        <f aca="false">IF(Z$5="A",Y199+0,Z197*Z198)</f>
        <v>80000</v>
      </c>
      <c r="AA199" s="71" t="n">
        <f aca="false">IF(AA$5="A",Z199+0,AA197*AA198)</f>
        <v>80000</v>
      </c>
      <c r="AB199" s="71" t="n">
        <f aca="false">IF(AB$5="A",AA199+0,AB197*AB198)</f>
        <v>80000</v>
      </c>
    </row>
    <row r="200" customFormat="false" ht="15" hidden="false" customHeight="false" outlineLevel="0" collapsed="false">
      <c r="A200" s="68" t="s">
        <v>937</v>
      </c>
      <c r="B200" s="69" t="s">
        <v>922</v>
      </c>
      <c r="C200" s="70" t="n">
        <f aca="false">SUM(E200:P200)</f>
        <v>20740.7407407407</v>
      </c>
      <c r="D200" s="70" t="n">
        <f aca="false">SUM(Q200:AB200)</f>
        <v>59259.2592592593</v>
      </c>
      <c r="E200" s="74" t="n">
        <f aca="false">E199-Project_Register!$Q$17</f>
        <v>0</v>
      </c>
      <c r="F200" s="70" t="n">
        <f aca="false">F199-E199</f>
        <v>0</v>
      </c>
      <c r="G200" s="70" t="n">
        <f aca="false">G199-F199</f>
        <v>0</v>
      </c>
      <c r="H200" s="70" t="n">
        <f aca="false">H199-G199</f>
        <v>0</v>
      </c>
      <c r="I200" s="70" t="n">
        <f aca="false">I199-H199</f>
        <v>0</v>
      </c>
      <c r="J200" s="70" t="n">
        <f aca="false">J199-I199</f>
        <v>0</v>
      </c>
      <c r="K200" s="70" t="n">
        <f aca="false">K199-J199</f>
        <v>0</v>
      </c>
      <c r="L200" s="70" t="n">
        <f aca="false">L199-K199</f>
        <v>0</v>
      </c>
      <c r="M200" s="70" t="n">
        <f aca="false">M199-L199</f>
        <v>0</v>
      </c>
      <c r="N200" s="70" t="n">
        <f aca="false">N199-M199</f>
        <v>0</v>
      </c>
      <c r="O200" s="70" t="n">
        <f aca="false">O199-N199</f>
        <v>5925.92592592593</v>
      </c>
      <c r="P200" s="70" t="n">
        <f aca="false">P199-O199</f>
        <v>14814.8148148148</v>
      </c>
      <c r="Q200" s="70" t="n">
        <f aca="false">Q199-P199</f>
        <v>19259.2592592593</v>
      </c>
      <c r="R200" s="70" t="n">
        <f aca="false">R199-Q199</f>
        <v>19259.2592592593</v>
      </c>
      <c r="S200" s="70" t="n">
        <f aca="false">S199-R199</f>
        <v>14814.8148148148</v>
      </c>
      <c r="T200" s="70" t="n">
        <f aca="false">T199-S199</f>
        <v>5925.92592592594</v>
      </c>
      <c r="U200" s="70" t="n">
        <f aca="false">U199-T199</f>
        <v>0</v>
      </c>
      <c r="V200" s="70" t="n">
        <f aca="false">V199-U199</f>
        <v>0</v>
      </c>
      <c r="W200" s="70" t="n">
        <f aca="false">W199-V199</f>
        <v>0</v>
      </c>
      <c r="X200" s="70" t="n">
        <f aca="false">X199-W199</f>
        <v>0</v>
      </c>
      <c r="Y200" s="70" t="n">
        <f aca="false">Y199-X199</f>
        <v>0</v>
      </c>
      <c r="Z200" s="70" t="n">
        <f aca="false">Z199-Y199</f>
        <v>0</v>
      </c>
      <c r="AA200" s="70" t="n">
        <f aca="false">AA199-Z199</f>
        <v>0</v>
      </c>
      <c r="AB200" s="70" t="n">
        <f aca="false">AB199-AA199</f>
        <v>0</v>
      </c>
    </row>
    <row r="201" customFormat="false" ht="15" hidden="false" customHeight="false" outlineLevel="0" collapsed="false">
      <c r="A201" s="28" t="s">
        <v>923</v>
      </c>
      <c r="B201" s="58" t="s">
        <v>924</v>
      </c>
      <c r="C201" s="59" t="n">
        <f aca="false">P201</f>
        <v>24000</v>
      </c>
      <c r="D201" s="59" t="n">
        <f aca="false">AB201</f>
        <v>80000</v>
      </c>
      <c r="E201" s="60" t="n">
        <f aca="false">E198*(Assumptions!$C$71*(Assumptions!E$99&gt;=Project_Register!$T$17)+Assumptions!$C$72*(Assumptions!E$99&gt;=Project_Register!$V$17)+Assumptions!$C$73*(Assumptions!E$99&gt;=Project_Register!$U$17))</f>
        <v>0</v>
      </c>
      <c r="F201" s="60" t="n">
        <f aca="false">F198*(Assumptions!$C$71*(Assumptions!F$99&gt;=Project_Register!$T$17)+Assumptions!$C$72*(Assumptions!F$99&gt;=Project_Register!$V$17)+Assumptions!$C$73*(Assumptions!F$99&gt;=Project_Register!$U$17))</f>
        <v>0</v>
      </c>
      <c r="G201" s="60" t="n">
        <f aca="false">G198*(Assumptions!$C$71*(Assumptions!G$99&gt;=Project_Register!$T$17)+Assumptions!$C$72*(Assumptions!G$99&gt;=Project_Register!$V$17)+Assumptions!$C$73*(Assumptions!G$99&gt;=Project_Register!$U$17))</f>
        <v>0</v>
      </c>
      <c r="H201" s="60" t="n">
        <f aca="false">H198*(Assumptions!$C$71*(Assumptions!H$99&gt;=Project_Register!$T$17)+Assumptions!$C$72*(Assumptions!H$99&gt;=Project_Register!$V$17)+Assumptions!$C$73*(Assumptions!H$99&gt;=Project_Register!$U$17))</f>
        <v>0</v>
      </c>
      <c r="I201" s="60" t="n">
        <f aca="false">I198*(Assumptions!$C$71*(Assumptions!I$99&gt;=Project_Register!$T$17)+Assumptions!$C$72*(Assumptions!I$99&gt;=Project_Register!$V$17)+Assumptions!$C$73*(Assumptions!I$99&gt;=Project_Register!$U$17))</f>
        <v>0</v>
      </c>
      <c r="J201" s="60" t="n">
        <f aca="false">J198*(Assumptions!$C$71*(Assumptions!J$99&gt;=Project_Register!$T$17)+Assumptions!$C$72*(Assumptions!J$99&gt;=Project_Register!$V$17)+Assumptions!$C$73*(Assumptions!J$99&gt;=Project_Register!$U$17))</f>
        <v>0</v>
      </c>
      <c r="K201" s="60" t="n">
        <f aca="false">K198*(Assumptions!$C$71*(Assumptions!K$99&gt;=Project_Register!$T$17)+Assumptions!$C$72*(Assumptions!K$99&gt;=Project_Register!$V$17)+Assumptions!$C$73*(Assumptions!K$99&gt;=Project_Register!$U$17))</f>
        <v>0</v>
      </c>
      <c r="L201" s="60" t="n">
        <f aca="false">L198*(Assumptions!$C$71*(Assumptions!L$99&gt;=Project_Register!$T$17)+Assumptions!$C$72*(Assumptions!L$99&gt;=Project_Register!$V$17)+Assumptions!$C$73*(Assumptions!L$99&gt;=Project_Register!$U$17))</f>
        <v>0</v>
      </c>
      <c r="M201" s="60" t="n">
        <f aca="false">M198*(Assumptions!$C$71*(Assumptions!M$99&gt;=Project_Register!$T$17)+Assumptions!$C$72*(Assumptions!M$99&gt;=Project_Register!$V$17)+Assumptions!$C$73*(Assumptions!M$99&gt;=Project_Register!$U$17))</f>
        <v>0</v>
      </c>
      <c r="N201" s="60" t="n">
        <f aca="false">N198*(Assumptions!$C$71*(Assumptions!N$99&gt;=Project_Register!$T$17)+Assumptions!$C$72*(Assumptions!N$99&gt;=Project_Register!$V$17)+Assumptions!$C$73*(Assumptions!N$99&gt;=Project_Register!$U$17))</f>
        <v>0</v>
      </c>
      <c r="O201" s="60" t="n">
        <f aca="false">O198*(Assumptions!$C$71*(Assumptions!O$99&gt;=Project_Register!$T$17)+Assumptions!$C$72*(Assumptions!O$99&gt;=Project_Register!$V$17)+Assumptions!$C$73*(Assumptions!O$99&gt;=Project_Register!$U$17))</f>
        <v>24000</v>
      </c>
      <c r="P201" s="60" t="n">
        <f aca="false">P198*(Assumptions!$C$71*(Assumptions!P$99&gt;=Project_Register!$T$17)+Assumptions!$C$72*(Assumptions!P$99&gt;=Project_Register!$V$17)+Assumptions!$C$73*(Assumptions!P$99&gt;=Project_Register!$U$17))</f>
        <v>24000</v>
      </c>
      <c r="Q201" s="60" t="n">
        <f aca="false">Q198*(Assumptions!$C$71*(Assumptions!Q$99&gt;=Project_Register!$T$17)+Assumptions!$C$72*(Assumptions!Q$99&gt;=Project_Register!$V$17)+Assumptions!$C$73*(Assumptions!Q$99&gt;=Project_Register!$U$17))</f>
        <v>24000</v>
      </c>
      <c r="R201" s="60" t="n">
        <f aca="false">R198*(Assumptions!$C$71*(Assumptions!R$99&gt;=Project_Register!$T$17)+Assumptions!$C$72*(Assumptions!R$99&gt;=Project_Register!$V$17)+Assumptions!$C$73*(Assumptions!R$99&gt;=Project_Register!$U$17))</f>
        <v>56000</v>
      </c>
      <c r="S201" s="60" t="n">
        <f aca="false">S198*(Assumptions!$C$71*(Assumptions!S$99&gt;=Project_Register!$T$17)+Assumptions!$C$72*(Assumptions!S$99&gt;=Project_Register!$V$17)+Assumptions!$C$73*(Assumptions!S$99&gt;=Project_Register!$U$17))</f>
        <v>56000</v>
      </c>
      <c r="T201" s="60" t="n">
        <f aca="false">T198*(Assumptions!$C$71*(Assumptions!T$99&gt;=Project_Register!$T$17)+Assumptions!$C$72*(Assumptions!T$99&gt;=Project_Register!$V$17)+Assumptions!$C$73*(Assumptions!T$99&gt;=Project_Register!$U$17))</f>
        <v>80000</v>
      </c>
      <c r="U201" s="60" t="n">
        <f aca="false">U198*(Assumptions!$C$71*(Assumptions!U$99&gt;=Project_Register!$T$17)+Assumptions!$C$72*(Assumptions!U$99&gt;=Project_Register!$V$17)+Assumptions!$C$73*(Assumptions!U$99&gt;=Project_Register!$U$17))</f>
        <v>80000</v>
      </c>
      <c r="V201" s="60" t="n">
        <f aca="false">V198*(Assumptions!$C$71*(Assumptions!V$99&gt;=Project_Register!$T$17)+Assumptions!$C$72*(Assumptions!V$99&gt;=Project_Register!$V$17)+Assumptions!$C$73*(Assumptions!V$99&gt;=Project_Register!$U$17))</f>
        <v>80000</v>
      </c>
      <c r="W201" s="60" t="n">
        <f aca="false">W198*(Assumptions!$C$71*(Assumptions!W$99&gt;=Project_Register!$T$17)+Assumptions!$C$72*(Assumptions!W$99&gt;=Project_Register!$V$17)+Assumptions!$C$73*(Assumptions!W$99&gt;=Project_Register!$U$17))</f>
        <v>80000</v>
      </c>
      <c r="X201" s="60" t="n">
        <f aca="false">X198*(Assumptions!$C$71*(Assumptions!X$99&gt;=Project_Register!$T$17)+Assumptions!$C$72*(Assumptions!X$99&gt;=Project_Register!$V$17)+Assumptions!$C$73*(Assumptions!X$99&gt;=Project_Register!$U$17))</f>
        <v>80000</v>
      </c>
      <c r="Y201" s="60" t="n">
        <f aca="false">Y198*(Assumptions!$C$71*(Assumptions!Y$99&gt;=Project_Register!$T$17)+Assumptions!$C$72*(Assumptions!Y$99&gt;=Project_Register!$V$17)+Assumptions!$C$73*(Assumptions!Y$99&gt;=Project_Register!$U$17))</f>
        <v>80000</v>
      </c>
      <c r="Z201" s="60" t="n">
        <f aca="false">Z198*(Assumptions!$C$71*(Assumptions!Z$99&gt;=Project_Register!$T$17)+Assumptions!$C$72*(Assumptions!Z$99&gt;=Project_Register!$V$17)+Assumptions!$C$73*(Assumptions!Z$99&gt;=Project_Register!$U$17))</f>
        <v>80000</v>
      </c>
      <c r="AA201" s="60" t="n">
        <f aca="false">AA198*(Assumptions!$C$71*(Assumptions!AA$99&gt;=Project_Register!$T$17)+Assumptions!$C$72*(Assumptions!AA$99&gt;=Project_Register!$V$17)+Assumptions!$C$73*(Assumptions!AA$99&gt;=Project_Register!$U$17))</f>
        <v>80000</v>
      </c>
      <c r="AB201" s="60" t="n">
        <f aca="false">AB198*(Assumptions!$C$71*(Assumptions!AB$99&gt;=Project_Register!$T$17)+Assumptions!$C$72*(Assumptions!AB$99&gt;=Project_Register!$V$17)+Assumptions!$C$73*(Assumptions!AB$99&gt;=Project_Register!$U$17))</f>
        <v>80000</v>
      </c>
    </row>
    <row r="202" customFormat="false" ht="15" hidden="false" customHeight="false" outlineLevel="0" collapsed="false">
      <c r="A202" s="28" t="s">
        <v>925</v>
      </c>
      <c r="B202" s="58" t="s">
        <v>926</v>
      </c>
      <c r="C202" s="59" t="n">
        <f aca="false">SUM(E202:P202)</f>
        <v>24000</v>
      </c>
      <c r="D202" s="59" t="n">
        <f aca="false">SUM(Q202:AB202)</f>
        <v>56000</v>
      </c>
      <c r="E202" s="60" t="n">
        <f aca="false">IF(E$5="A",0,MAX(0,E201-Project_Register!$R$17))</f>
        <v>0</v>
      </c>
      <c r="F202" s="71" t="n">
        <f aca="false">IF(F$5="A",0,MAX(0,F201-E203))</f>
        <v>0</v>
      </c>
      <c r="G202" s="71" t="n">
        <f aca="false">IF(G$5="A",0,MAX(0,G201-F203))</f>
        <v>0</v>
      </c>
      <c r="H202" s="71" t="n">
        <f aca="false">IF(H$5="A",0,MAX(0,H201-G203))</f>
        <v>0</v>
      </c>
      <c r="I202" s="71" t="n">
        <f aca="false">IF(I$5="A",0,MAX(0,I201-H203))</f>
        <v>0</v>
      </c>
      <c r="J202" s="71" t="n">
        <f aca="false">IF(J$5="A",0,MAX(0,J201-I203))</f>
        <v>0</v>
      </c>
      <c r="K202" s="71" t="n">
        <f aca="false">IF(K$5="A",0,MAX(0,K201-J203))</f>
        <v>0</v>
      </c>
      <c r="L202" s="71" t="n">
        <f aca="false">IF(L$5="A",0,MAX(0,L201-K203))</f>
        <v>0</v>
      </c>
      <c r="M202" s="71" t="n">
        <f aca="false">IF(M$5="A",0,MAX(0,M201-L203))</f>
        <v>0</v>
      </c>
      <c r="N202" s="71" t="n">
        <f aca="false">IF(N$5="A",0,MAX(0,N201-M203))</f>
        <v>0</v>
      </c>
      <c r="O202" s="71" t="n">
        <f aca="false">IF(O$5="A",0,MAX(0,O201-N203))</f>
        <v>24000</v>
      </c>
      <c r="P202" s="71" t="n">
        <f aca="false">IF(P$5="A",0,MAX(0,P201-O203))</f>
        <v>0</v>
      </c>
      <c r="Q202" s="71" t="n">
        <f aca="false">IF(Q$5="A",0,MAX(0,Q201-P203))</f>
        <v>0</v>
      </c>
      <c r="R202" s="71" t="n">
        <f aca="false">IF(R$5="A",0,MAX(0,R201-Q203))</f>
        <v>32000</v>
      </c>
      <c r="S202" s="71" t="n">
        <f aca="false">IF(S$5="A",0,MAX(0,S201-R203))</f>
        <v>0</v>
      </c>
      <c r="T202" s="71" t="n">
        <f aca="false">IF(T$5="A",0,MAX(0,T201-S203))</f>
        <v>24000</v>
      </c>
      <c r="U202" s="71" t="n">
        <f aca="false">IF(U$5="A",0,MAX(0,U201-T203))</f>
        <v>0</v>
      </c>
      <c r="V202" s="71" t="n">
        <f aca="false">IF(V$5="A",0,MAX(0,V201-U203))</f>
        <v>0</v>
      </c>
      <c r="W202" s="71" t="n">
        <f aca="false">IF(W$5="A",0,MAX(0,W201-V203))</f>
        <v>0</v>
      </c>
      <c r="X202" s="71" t="n">
        <f aca="false">IF(X$5="A",0,MAX(0,X201-W203))</f>
        <v>0</v>
      </c>
      <c r="Y202" s="71" t="n">
        <f aca="false">IF(Y$5="A",0,MAX(0,Y201-X203))</f>
        <v>0</v>
      </c>
      <c r="Z202" s="71" t="n">
        <f aca="false">IF(Z$5="A",0,MAX(0,Z201-Y203))</f>
        <v>0</v>
      </c>
      <c r="AA202" s="71" t="n">
        <f aca="false">IF(AA$5="A",0,MAX(0,AA201-Z203))</f>
        <v>0</v>
      </c>
      <c r="AB202" s="71" t="n">
        <f aca="false">IF(AB$5="A",0,MAX(0,AB201-AA203))</f>
        <v>0</v>
      </c>
    </row>
    <row r="203" customFormat="false" ht="15" hidden="false" customHeight="false" outlineLevel="0" collapsed="false">
      <c r="A203" s="28" t="s">
        <v>927</v>
      </c>
      <c r="B203" s="58"/>
      <c r="C203" s="59" t="n">
        <f aca="false">P203</f>
        <v>24000</v>
      </c>
      <c r="D203" s="59" t="n">
        <f aca="false">AB203</f>
        <v>80000</v>
      </c>
      <c r="E203" s="60" t="n">
        <f aca="false">Project_Register!$R$17+E202</f>
        <v>0</v>
      </c>
      <c r="F203" s="71" t="n">
        <f aca="false">E203+F202</f>
        <v>0</v>
      </c>
      <c r="G203" s="71" t="n">
        <f aca="false">F203+G202</f>
        <v>0</v>
      </c>
      <c r="H203" s="71" t="n">
        <f aca="false">G203+H202</f>
        <v>0</v>
      </c>
      <c r="I203" s="71" t="n">
        <f aca="false">H203+I202</f>
        <v>0</v>
      </c>
      <c r="J203" s="71" t="n">
        <f aca="false">I203+J202</f>
        <v>0</v>
      </c>
      <c r="K203" s="71" t="n">
        <f aca="false">J203+K202</f>
        <v>0</v>
      </c>
      <c r="L203" s="71" t="n">
        <f aca="false">K203+L202</f>
        <v>0</v>
      </c>
      <c r="M203" s="71" t="n">
        <f aca="false">L203+M202</f>
        <v>0</v>
      </c>
      <c r="N203" s="71" t="n">
        <f aca="false">M203+N202</f>
        <v>0</v>
      </c>
      <c r="O203" s="71" t="n">
        <f aca="false">N203+O202</f>
        <v>24000</v>
      </c>
      <c r="P203" s="71" t="n">
        <f aca="false">O203+P202</f>
        <v>24000</v>
      </c>
      <c r="Q203" s="71" t="n">
        <f aca="false">P203+Q202</f>
        <v>24000</v>
      </c>
      <c r="R203" s="71" t="n">
        <f aca="false">Q203+R202</f>
        <v>56000</v>
      </c>
      <c r="S203" s="71" t="n">
        <f aca="false">R203+S202</f>
        <v>56000</v>
      </c>
      <c r="T203" s="71" t="n">
        <f aca="false">S203+T202</f>
        <v>80000</v>
      </c>
      <c r="U203" s="71" t="n">
        <f aca="false">T203+U202</f>
        <v>80000</v>
      </c>
      <c r="V203" s="71" t="n">
        <f aca="false">U203+V202</f>
        <v>80000</v>
      </c>
      <c r="W203" s="71" t="n">
        <f aca="false">V203+W202</f>
        <v>80000</v>
      </c>
      <c r="X203" s="71" t="n">
        <f aca="false">W203+X202</f>
        <v>80000</v>
      </c>
      <c r="Y203" s="71" t="n">
        <f aca="false">X203+Y202</f>
        <v>80000</v>
      </c>
      <c r="Z203" s="71" t="n">
        <f aca="false">Y203+Z202</f>
        <v>80000</v>
      </c>
      <c r="AA203" s="71" t="n">
        <f aca="false">Z203+AA202</f>
        <v>80000</v>
      </c>
      <c r="AB203" s="71" t="n">
        <f aca="false">AA203+AB202</f>
        <v>80000</v>
      </c>
    </row>
    <row r="204" customFormat="false" ht="15" hidden="false" customHeight="false" outlineLevel="0" collapsed="false">
      <c r="A204" s="28" t="s">
        <v>928</v>
      </c>
      <c r="B204" s="58" t="s">
        <v>929</v>
      </c>
      <c r="C204" s="59" t="n">
        <f aca="false">P204</f>
        <v>-3259.25925925926</v>
      </c>
      <c r="D204" s="59" t="n">
        <f aca="false">AB204</f>
        <v>0</v>
      </c>
      <c r="E204" s="71" t="n">
        <f aca="false">E199-E203</f>
        <v>0</v>
      </c>
      <c r="F204" s="71" t="n">
        <f aca="false">F199-F203</f>
        <v>0</v>
      </c>
      <c r="G204" s="71" t="n">
        <f aca="false">G199-G203</f>
        <v>0</v>
      </c>
      <c r="H204" s="71" t="n">
        <f aca="false">H199-H203</f>
        <v>0</v>
      </c>
      <c r="I204" s="71" t="n">
        <f aca="false">I199-I203</f>
        <v>0</v>
      </c>
      <c r="J204" s="71" t="n">
        <f aca="false">J199-J203</f>
        <v>0</v>
      </c>
      <c r="K204" s="71" t="n">
        <f aca="false">K199-K203</f>
        <v>0</v>
      </c>
      <c r="L204" s="71" t="n">
        <f aca="false">L199-L203</f>
        <v>0</v>
      </c>
      <c r="M204" s="71" t="n">
        <f aca="false">M199-M203</f>
        <v>0</v>
      </c>
      <c r="N204" s="71" t="n">
        <f aca="false">N199-N203</f>
        <v>0</v>
      </c>
      <c r="O204" s="71" t="n">
        <f aca="false">O199-O203</f>
        <v>-18074.0740740741</v>
      </c>
      <c r="P204" s="71" t="n">
        <f aca="false">P199-P203</f>
        <v>-3259.25925925926</v>
      </c>
      <c r="Q204" s="71" t="n">
        <f aca="false">Q199-Q203</f>
        <v>16000</v>
      </c>
      <c r="R204" s="71" t="n">
        <f aca="false">R199-R203</f>
        <v>3259.25925925928</v>
      </c>
      <c r="S204" s="71" t="n">
        <f aca="false">S199-S203</f>
        <v>18074.0740740741</v>
      </c>
      <c r="T204" s="71" t="n">
        <f aca="false">T199-T203</f>
        <v>0</v>
      </c>
      <c r="U204" s="71" t="n">
        <f aca="false">U199-U203</f>
        <v>0</v>
      </c>
      <c r="V204" s="71" t="n">
        <f aca="false">V199-V203</f>
        <v>0</v>
      </c>
      <c r="W204" s="71" t="n">
        <f aca="false">W199-W203</f>
        <v>0</v>
      </c>
      <c r="X204" s="71" t="n">
        <f aca="false">X199-X203</f>
        <v>0</v>
      </c>
      <c r="Y204" s="71" t="n">
        <f aca="false">Y199-Y203</f>
        <v>0</v>
      </c>
      <c r="Z204" s="71" t="n">
        <f aca="false">Z199-Z203</f>
        <v>0</v>
      </c>
      <c r="AA204" s="71" t="n">
        <f aca="false">AA199-AA203</f>
        <v>0</v>
      </c>
      <c r="AB204" s="71" t="n">
        <f aca="false">AB199-AB203</f>
        <v>0</v>
      </c>
    </row>
    <row r="205" customFormat="false" ht="15" hidden="false" customHeight="false" outlineLevel="0" collapsed="false">
      <c r="A205" s="28" t="s">
        <v>930</v>
      </c>
      <c r="B205" s="58"/>
      <c r="C205" s="59" t="n">
        <f aca="false">P205</f>
        <v>59259.2592592593</v>
      </c>
      <c r="D205" s="59" t="n">
        <f aca="false">AB205</f>
        <v>0</v>
      </c>
      <c r="E205" s="71" t="n">
        <f aca="false">MAX(0,E198-E199)</f>
        <v>0</v>
      </c>
      <c r="F205" s="71" t="n">
        <f aca="false">MAX(0,F198-F199)</f>
        <v>0</v>
      </c>
      <c r="G205" s="71" t="n">
        <f aca="false">MAX(0,G198-G199)</f>
        <v>0</v>
      </c>
      <c r="H205" s="71" t="n">
        <f aca="false">MAX(0,H198-H199)</f>
        <v>0</v>
      </c>
      <c r="I205" s="71" t="n">
        <f aca="false">MAX(0,I198-I199)</f>
        <v>0</v>
      </c>
      <c r="J205" s="71" t="n">
        <f aca="false">MAX(0,J198-J199)</f>
        <v>0</v>
      </c>
      <c r="K205" s="71" t="n">
        <f aca="false">MAX(0,K198-K199)</f>
        <v>0</v>
      </c>
      <c r="L205" s="71" t="n">
        <f aca="false">MAX(0,L198-L199)</f>
        <v>0</v>
      </c>
      <c r="M205" s="71" t="n">
        <f aca="false">MAX(0,M198-M199)</f>
        <v>80000</v>
      </c>
      <c r="N205" s="71" t="n">
        <f aca="false">MAX(0,N198-N199)</f>
        <v>80000</v>
      </c>
      <c r="O205" s="71" t="n">
        <f aca="false">MAX(0,O198-O199)</f>
        <v>74074.0740740741</v>
      </c>
      <c r="P205" s="71" t="n">
        <f aca="false">MAX(0,P198-P199)</f>
        <v>59259.2592592593</v>
      </c>
      <c r="Q205" s="71" t="n">
        <f aca="false">MAX(0,Q198-Q199)</f>
        <v>40000</v>
      </c>
      <c r="R205" s="71" t="n">
        <f aca="false">MAX(0,R198-R199)</f>
        <v>20740.7407407407</v>
      </c>
      <c r="S205" s="71" t="n">
        <f aca="false">MAX(0,S198-S199)</f>
        <v>5925.92592592594</v>
      </c>
      <c r="T205" s="71" t="n">
        <f aca="false">MAX(0,T198-T199)</f>
        <v>0</v>
      </c>
      <c r="U205" s="71" t="n">
        <f aca="false">MAX(0,U198-U199)</f>
        <v>0</v>
      </c>
      <c r="V205" s="71" t="n">
        <f aca="false">MAX(0,V198-V199)</f>
        <v>0</v>
      </c>
      <c r="W205" s="71" t="n">
        <f aca="false">MAX(0,W198-W199)</f>
        <v>0</v>
      </c>
      <c r="X205" s="71" t="n">
        <f aca="false">MAX(0,X198-X199)</f>
        <v>0</v>
      </c>
      <c r="Y205" s="71" t="n">
        <f aca="false">MAX(0,Y198-Y199)</f>
        <v>0</v>
      </c>
      <c r="Z205" s="71" t="n">
        <f aca="false">MAX(0,Z198-Z199)</f>
        <v>0</v>
      </c>
      <c r="AA205" s="71" t="n">
        <f aca="false">MAX(0,AA198-AA199)</f>
        <v>0</v>
      </c>
      <c r="AB205" s="71" t="n">
        <f aca="false">MAX(0,AB198-AB199)</f>
        <v>0</v>
      </c>
    </row>
    <row r="207" customFormat="false" ht="15" hidden="false" customHeight="false" outlineLevel="0" collapsed="false">
      <c r="A207" s="22" t="s">
        <v>950</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row>
    <row r="208" customFormat="false" ht="15" hidden="false" customHeight="false" outlineLevel="0" collapsed="false">
      <c r="A208" s="28" t="s">
        <v>905</v>
      </c>
      <c r="B208" s="58" t="s">
        <v>906</v>
      </c>
      <c r="E208" s="112" t="n">
        <f aca="false">MIN(1,MAX(0,(Assumptions!E$99-Project_Register!$T$18+1)/(Project_Register!$U$18-Project_Register!$T$18+1)))</f>
        <v>0</v>
      </c>
      <c r="F208" s="112" t="n">
        <f aca="false">MIN(1,MAX(0,(Assumptions!F$99-Project_Register!$T$18+1)/(Project_Register!$U$18-Project_Register!$T$18+1)))</f>
        <v>0</v>
      </c>
      <c r="G208" s="112" t="n">
        <f aca="false">MIN(1,MAX(0,(Assumptions!G$99-Project_Register!$T$18+1)/(Project_Register!$U$18-Project_Register!$T$18+1)))</f>
        <v>0</v>
      </c>
      <c r="H208" s="112" t="n">
        <f aca="false">MIN(1,MAX(0,(Assumptions!H$99-Project_Register!$T$18+1)/(Project_Register!$U$18-Project_Register!$T$18+1)))</f>
        <v>0</v>
      </c>
      <c r="I208" s="112" t="n">
        <f aca="false">MIN(1,MAX(0,(Assumptions!I$99-Project_Register!$T$18+1)/(Project_Register!$U$18-Project_Register!$T$18+1)))</f>
        <v>0</v>
      </c>
      <c r="J208" s="112" t="n">
        <f aca="false">MIN(1,MAX(0,(Assumptions!J$99-Project_Register!$T$18+1)/(Project_Register!$U$18-Project_Register!$T$18+1)))</f>
        <v>0</v>
      </c>
      <c r="K208" s="112" t="n">
        <f aca="false">MIN(1,MAX(0,(Assumptions!K$99-Project_Register!$T$18+1)/(Project_Register!$U$18-Project_Register!$T$18+1)))</f>
        <v>0</v>
      </c>
      <c r="L208" s="112" t="n">
        <f aca="false">MIN(1,MAX(0,(Assumptions!L$99-Project_Register!$T$18+1)/(Project_Register!$U$18-Project_Register!$T$18+1)))</f>
        <v>0</v>
      </c>
      <c r="M208" s="112" t="n">
        <f aca="false">MIN(1,MAX(0,(Assumptions!M$99-Project_Register!$T$18+1)/(Project_Register!$U$18-Project_Register!$T$18+1)))</f>
        <v>0</v>
      </c>
      <c r="N208" s="112" t="n">
        <f aca="false">MIN(1,MAX(0,(Assumptions!N$99-Project_Register!$T$18+1)/(Project_Register!$U$18-Project_Register!$T$18+1)))</f>
        <v>0.25</v>
      </c>
      <c r="O208" s="112" t="n">
        <f aca="false">MIN(1,MAX(0,(Assumptions!O$99-Project_Register!$T$18+1)/(Project_Register!$U$18-Project_Register!$T$18+1)))</f>
        <v>0.5</v>
      </c>
      <c r="P208" s="112" t="n">
        <f aca="false">MIN(1,MAX(0,(Assumptions!P$99-Project_Register!$T$18+1)/(Project_Register!$U$18-Project_Register!$T$18+1)))</f>
        <v>0.75</v>
      </c>
      <c r="Q208" s="112" t="n">
        <f aca="false">MIN(1,MAX(0,(Assumptions!Q$99-Project_Register!$T$18+1)/(Project_Register!$U$18-Project_Register!$T$18+1)))</f>
        <v>1</v>
      </c>
      <c r="R208" s="112" t="n">
        <f aca="false">MIN(1,MAX(0,(Assumptions!R$99-Project_Register!$T$18+1)/(Project_Register!$U$18-Project_Register!$T$18+1)))</f>
        <v>1</v>
      </c>
      <c r="S208" s="112" t="n">
        <f aca="false">MIN(1,MAX(0,(Assumptions!S$99-Project_Register!$T$18+1)/(Project_Register!$U$18-Project_Register!$T$18+1)))</f>
        <v>1</v>
      </c>
      <c r="T208" s="112" t="n">
        <f aca="false">MIN(1,MAX(0,(Assumptions!T$99-Project_Register!$T$18+1)/(Project_Register!$U$18-Project_Register!$T$18+1)))</f>
        <v>1</v>
      </c>
      <c r="U208" s="112" t="n">
        <f aca="false">MIN(1,MAX(0,(Assumptions!U$99-Project_Register!$T$18+1)/(Project_Register!$U$18-Project_Register!$T$18+1)))</f>
        <v>1</v>
      </c>
      <c r="V208" s="112" t="n">
        <f aca="false">MIN(1,MAX(0,(Assumptions!V$99-Project_Register!$T$18+1)/(Project_Register!$U$18-Project_Register!$T$18+1)))</f>
        <v>1</v>
      </c>
      <c r="W208" s="112" t="n">
        <f aca="false">MIN(1,MAX(0,(Assumptions!W$99-Project_Register!$T$18+1)/(Project_Register!$U$18-Project_Register!$T$18+1)))</f>
        <v>1</v>
      </c>
      <c r="X208" s="112" t="n">
        <f aca="false">MIN(1,MAX(0,(Assumptions!X$99-Project_Register!$T$18+1)/(Project_Register!$U$18-Project_Register!$T$18+1)))</f>
        <v>1</v>
      </c>
      <c r="Y208" s="112" t="n">
        <f aca="false">MIN(1,MAX(0,(Assumptions!Y$99-Project_Register!$T$18+1)/(Project_Register!$U$18-Project_Register!$T$18+1)))</f>
        <v>1</v>
      </c>
      <c r="Z208" s="112" t="n">
        <f aca="false">MIN(1,MAX(0,(Assumptions!Z$99-Project_Register!$T$18+1)/(Project_Register!$U$18-Project_Register!$T$18+1)))</f>
        <v>1</v>
      </c>
      <c r="AA208" s="112" t="n">
        <f aca="false">MIN(1,MAX(0,(Assumptions!AA$99-Project_Register!$T$18+1)/(Project_Register!$U$18-Project_Register!$T$18+1)))</f>
        <v>1</v>
      </c>
      <c r="AB208" s="112" t="n">
        <f aca="false">MIN(1,MAX(0,(Assumptions!AB$99-Project_Register!$T$18+1)/(Project_Register!$U$18-Project_Register!$T$18+1)))</f>
        <v>1</v>
      </c>
    </row>
    <row r="209" customFormat="false" ht="15" hidden="false" customHeight="false" outlineLevel="0" collapsed="false">
      <c r="A209" s="28" t="s">
        <v>907</v>
      </c>
      <c r="B209" s="58" t="s">
        <v>908</v>
      </c>
      <c r="E209" s="113" t="n">
        <f aca="false">3*E208^2-2*E208^3</f>
        <v>0</v>
      </c>
      <c r="F209" s="113" t="n">
        <f aca="false">3*F208^2-2*F208^3</f>
        <v>0</v>
      </c>
      <c r="G209" s="113" t="n">
        <f aca="false">3*G208^2-2*G208^3</f>
        <v>0</v>
      </c>
      <c r="H209" s="113" t="n">
        <f aca="false">3*H208^2-2*H208^3</f>
        <v>0</v>
      </c>
      <c r="I209" s="113" t="n">
        <f aca="false">3*I208^2-2*I208^3</f>
        <v>0</v>
      </c>
      <c r="J209" s="113" t="n">
        <f aca="false">3*J208^2-2*J208^3</f>
        <v>0</v>
      </c>
      <c r="K209" s="113" t="n">
        <f aca="false">3*K208^2-2*K208^3</f>
        <v>0</v>
      </c>
      <c r="L209" s="113" t="n">
        <f aca="false">3*L208^2-2*L208^3</f>
        <v>0</v>
      </c>
      <c r="M209" s="113" t="n">
        <f aca="false">3*M208^2-2*M208^3</f>
        <v>0</v>
      </c>
      <c r="N209" s="113" t="n">
        <f aca="false">3*N208^2-2*N208^3</f>
        <v>0.15625</v>
      </c>
      <c r="O209" s="113" t="n">
        <f aca="false">3*O208^2-2*O208^3</f>
        <v>0.5</v>
      </c>
      <c r="P209" s="113" t="n">
        <f aca="false">3*P208^2-2*P208^3</f>
        <v>0.84375</v>
      </c>
      <c r="Q209" s="113" t="n">
        <f aca="false">3*Q208^2-2*Q208^3</f>
        <v>1</v>
      </c>
      <c r="R209" s="113" t="n">
        <f aca="false">3*R208^2-2*R208^3</f>
        <v>1</v>
      </c>
      <c r="S209" s="113" t="n">
        <f aca="false">3*S208^2-2*S208^3</f>
        <v>1</v>
      </c>
      <c r="T209" s="113" t="n">
        <f aca="false">3*T208^2-2*T208^3</f>
        <v>1</v>
      </c>
      <c r="U209" s="113" t="n">
        <f aca="false">3*U208^2-2*U208^3</f>
        <v>1</v>
      </c>
      <c r="V209" s="113" t="n">
        <f aca="false">3*V208^2-2*V208^3</f>
        <v>1</v>
      </c>
      <c r="W209" s="113" t="n">
        <f aca="false">3*W208^2-2*W208^3</f>
        <v>1</v>
      </c>
      <c r="X209" s="113" t="n">
        <f aca="false">3*X208^2-2*X208^3</f>
        <v>1</v>
      </c>
      <c r="Y209" s="113" t="n">
        <f aca="false">3*Y208^2-2*Y208^3</f>
        <v>1</v>
      </c>
      <c r="Z209" s="113" t="n">
        <f aca="false">3*Z208^2-2*Z208^3</f>
        <v>1</v>
      </c>
      <c r="AA209" s="113" t="n">
        <f aca="false">3*AA208^2-2*AA208^3</f>
        <v>1</v>
      </c>
      <c r="AB209" s="113" t="n">
        <f aca="false">3*AB208^2-2*AB208^3</f>
        <v>1</v>
      </c>
    </row>
    <row r="210" customFormat="false" ht="15" hidden="false" customHeight="false" outlineLevel="0" collapsed="false">
      <c r="A210" s="28" t="s">
        <v>909</v>
      </c>
      <c r="B210" s="58"/>
      <c r="E210" s="112" t="n">
        <f aca="false">3*MIN(1,MAX(0,(Assumptions!E$99-Project_Register!$T$18)/(Project_Register!$U$18-Project_Register!$T$18+1)))^2-2*MIN(1,MAX(0,(Assumptions!E$99-Project_Register!$T$18)/(Project_Register!$U$18-Project_Register!$T$18+1)))^3</f>
        <v>0</v>
      </c>
      <c r="F210" s="112" t="n">
        <f aca="false">3*MIN(1,MAX(0,(Assumptions!F$99-Project_Register!$T$18)/(Project_Register!$U$18-Project_Register!$T$18+1)))^2-2*MIN(1,MAX(0,(Assumptions!F$99-Project_Register!$T$18)/(Project_Register!$U$18-Project_Register!$T$18+1)))^3</f>
        <v>0</v>
      </c>
      <c r="G210" s="112" t="n">
        <f aca="false">3*MIN(1,MAX(0,(Assumptions!G$99-Project_Register!$T$18)/(Project_Register!$U$18-Project_Register!$T$18+1)))^2-2*MIN(1,MAX(0,(Assumptions!G$99-Project_Register!$T$18)/(Project_Register!$U$18-Project_Register!$T$18+1)))^3</f>
        <v>0</v>
      </c>
      <c r="H210" s="112" t="n">
        <f aca="false">3*MIN(1,MAX(0,(Assumptions!H$99-Project_Register!$T$18)/(Project_Register!$U$18-Project_Register!$T$18+1)))^2-2*MIN(1,MAX(0,(Assumptions!H$99-Project_Register!$T$18)/(Project_Register!$U$18-Project_Register!$T$18+1)))^3</f>
        <v>0</v>
      </c>
      <c r="I210" s="112" t="n">
        <f aca="false">3*MIN(1,MAX(0,(Assumptions!I$99-Project_Register!$T$18)/(Project_Register!$U$18-Project_Register!$T$18+1)))^2-2*MIN(1,MAX(0,(Assumptions!I$99-Project_Register!$T$18)/(Project_Register!$U$18-Project_Register!$T$18+1)))^3</f>
        <v>0</v>
      </c>
      <c r="J210" s="112" t="n">
        <f aca="false">3*MIN(1,MAX(0,(Assumptions!J$99-Project_Register!$T$18)/(Project_Register!$U$18-Project_Register!$T$18+1)))^2-2*MIN(1,MAX(0,(Assumptions!J$99-Project_Register!$T$18)/(Project_Register!$U$18-Project_Register!$T$18+1)))^3</f>
        <v>0</v>
      </c>
      <c r="K210" s="112" t="n">
        <f aca="false">3*MIN(1,MAX(0,(Assumptions!K$99-Project_Register!$T$18)/(Project_Register!$U$18-Project_Register!$T$18+1)))^2-2*MIN(1,MAX(0,(Assumptions!K$99-Project_Register!$T$18)/(Project_Register!$U$18-Project_Register!$T$18+1)))^3</f>
        <v>0</v>
      </c>
      <c r="L210" s="112" t="n">
        <f aca="false">3*MIN(1,MAX(0,(Assumptions!L$99-Project_Register!$T$18)/(Project_Register!$U$18-Project_Register!$T$18+1)))^2-2*MIN(1,MAX(0,(Assumptions!L$99-Project_Register!$T$18)/(Project_Register!$U$18-Project_Register!$T$18+1)))^3</f>
        <v>0</v>
      </c>
      <c r="M210" s="112" t="n">
        <f aca="false">3*MIN(1,MAX(0,(Assumptions!M$99-Project_Register!$T$18)/(Project_Register!$U$18-Project_Register!$T$18+1)))^2-2*MIN(1,MAX(0,(Assumptions!M$99-Project_Register!$T$18)/(Project_Register!$U$18-Project_Register!$T$18+1)))^3</f>
        <v>0</v>
      </c>
      <c r="N210" s="112" t="n">
        <f aca="false">3*MIN(1,MAX(0,(Assumptions!N$99-Project_Register!$T$18)/(Project_Register!$U$18-Project_Register!$T$18+1)))^2-2*MIN(1,MAX(0,(Assumptions!N$99-Project_Register!$T$18)/(Project_Register!$U$18-Project_Register!$T$18+1)))^3</f>
        <v>0</v>
      </c>
      <c r="O210" s="112" t="n">
        <f aca="false">3*MIN(1,MAX(0,(Assumptions!O$99-Project_Register!$T$18)/(Project_Register!$U$18-Project_Register!$T$18+1)))^2-2*MIN(1,MAX(0,(Assumptions!O$99-Project_Register!$T$18)/(Project_Register!$U$18-Project_Register!$T$18+1)))^3</f>
        <v>0.15625</v>
      </c>
      <c r="P210" s="112" t="n">
        <f aca="false">3*MIN(1,MAX(0,(Assumptions!P$99-Project_Register!$T$18)/(Project_Register!$U$18-Project_Register!$T$18+1)))^2-2*MIN(1,MAX(0,(Assumptions!P$99-Project_Register!$T$18)/(Project_Register!$U$18-Project_Register!$T$18+1)))^3</f>
        <v>0.5</v>
      </c>
      <c r="Q210" s="112" t="n">
        <f aca="false">3*MIN(1,MAX(0,(Assumptions!Q$99-Project_Register!$T$18)/(Project_Register!$U$18-Project_Register!$T$18+1)))^2-2*MIN(1,MAX(0,(Assumptions!Q$99-Project_Register!$T$18)/(Project_Register!$U$18-Project_Register!$T$18+1)))^3</f>
        <v>0.84375</v>
      </c>
      <c r="R210" s="112" t="n">
        <f aca="false">3*MIN(1,MAX(0,(Assumptions!R$99-Project_Register!$T$18)/(Project_Register!$U$18-Project_Register!$T$18+1)))^2-2*MIN(1,MAX(0,(Assumptions!R$99-Project_Register!$T$18)/(Project_Register!$U$18-Project_Register!$T$18+1)))^3</f>
        <v>1</v>
      </c>
      <c r="S210" s="112" t="n">
        <f aca="false">3*MIN(1,MAX(0,(Assumptions!S$99-Project_Register!$T$18)/(Project_Register!$U$18-Project_Register!$T$18+1)))^2-2*MIN(1,MAX(0,(Assumptions!S$99-Project_Register!$T$18)/(Project_Register!$U$18-Project_Register!$T$18+1)))^3</f>
        <v>1</v>
      </c>
      <c r="T210" s="112" t="n">
        <f aca="false">3*MIN(1,MAX(0,(Assumptions!T$99-Project_Register!$T$18)/(Project_Register!$U$18-Project_Register!$T$18+1)))^2-2*MIN(1,MAX(0,(Assumptions!T$99-Project_Register!$T$18)/(Project_Register!$U$18-Project_Register!$T$18+1)))^3</f>
        <v>1</v>
      </c>
      <c r="U210" s="112" t="n">
        <f aca="false">3*MIN(1,MAX(0,(Assumptions!U$99-Project_Register!$T$18)/(Project_Register!$U$18-Project_Register!$T$18+1)))^2-2*MIN(1,MAX(0,(Assumptions!U$99-Project_Register!$T$18)/(Project_Register!$U$18-Project_Register!$T$18+1)))^3</f>
        <v>1</v>
      </c>
      <c r="V210" s="112" t="n">
        <f aca="false">3*MIN(1,MAX(0,(Assumptions!V$99-Project_Register!$T$18)/(Project_Register!$U$18-Project_Register!$T$18+1)))^2-2*MIN(1,MAX(0,(Assumptions!V$99-Project_Register!$T$18)/(Project_Register!$U$18-Project_Register!$T$18+1)))^3</f>
        <v>1</v>
      </c>
      <c r="W210" s="112" t="n">
        <f aca="false">3*MIN(1,MAX(0,(Assumptions!W$99-Project_Register!$T$18)/(Project_Register!$U$18-Project_Register!$T$18+1)))^2-2*MIN(1,MAX(0,(Assumptions!W$99-Project_Register!$T$18)/(Project_Register!$U$18-Project_Register!$T$18+1)))^3</f>
        <v>1</v>
      </c>
      <c r="X210" s="112" t="n">
        <f aca="false">3*MIN(1,MAX(0,(Assumptions!X$99-Project_Register!$T$18)/(Project_Register!$U$18-Project_Register!$T$18+1)))^2-2*MIN(1,MAX(0,(Assumptions!X$99-Project_Register!$T$18)/(Project_Register!$U$18-Project_Register!$T$18+1)))^3</f>
        <v>1</v>
      </c>
      <c r="Y210" s="112" t="n">
        <f aca="false">3*MIN(1,MAX(0,(Assumptions!Y$99-Project_Register!$T$18)/(Project_Register!$U$18-Project_Register!$T$18+1)))^2-2*MIN(1,MAX(0,(Assumptions!Y$99-Project_Register!$T$18)/(Project_Register!$U$18-Project_Register!$T$18+1)))^3</f>
        <v>1</v>
      </c>
      <c r="Z210" s="112" t="n">
        <f aca="false">3*MIN(1,MAX(0,(Assumptions!Z$99-Project_Register!$T$18)/(Project_Register!$U$18-Project_Register!$T$18+1)))^2-2*MIN(1,MAX(0,(Assumptions!Z$99-Project_Register!$T$18)/(Project_Register!$U$18-Project_Register!$T$18+1)))^3</f>
        <v>1</v>
      </c>
      <c r="AA210" s="112" t="n">
        <f aca="false">3*MIN(1,MAX(0,(Assumptions!AA$99-Project_Register!$T$18)/(Project_Register!$U$18-Project_Register!$T$18+1)))^2-2*MIN(1,MAX(0,(Assumptions!AA$99-Project_Register!$T$18)/(Project_Register!$U$18-Project_Register!$T$18+1)))^3</f>
        <v>1</v>
      </c>
      <c r="AB210" s="112" t="n">
        <f aca="false">3*MIN(1,MAX(0,(Assumptions!AB$99-Project_Register!$T$18)/(Project_Register!$U$18-Project_Register!$T$18+1)))^2-2*MIN(1,MAX(0,(Assumptions!AB$99-Project_Register!$T$18)/(Project_Register!$U$18-Project_Register!$T$18+1)))^3</f>
        <v>1</v>
      </c>
    </row>
    <row r="211" customFormat="false" ht="15" hidden="false" customHeight="false" outlineLevel="0" collapsed="false">
      <c r="A211" s="28" t="s">
        <v>802</v>
      </c>
      <c r="B211" s="58" t="s">
        <v>910</v>
      </c>
      <c r="C211" s="66" t="n">
        <f aca="false">SUM(E211:P211)</f>
        <v>413.4375</v>
      </c>
      <c r="D211" s="66" t="n">
        <f aca="false">SUM(Q211:AB211)</f>
        <v>76.5625</v>
      </c>
      <c r="E211" s="67" t="n">
        <f aca="false">IF(E$5="A",0,IF((Project_Register!$AA$18-Project_Register!$X$18)&lt;=0,0,IF(1-Project_Register!$AC$18&lt;=0.000001,IF(Assumptions!E$99=Assumptions!$C$10+1,(Project_Register!$AA$18-Project_Register!$X$18),0),(Project_Register!$AA$18-Project_Register!$X$18)*(E209-E210)/(1-Project_Register!$AC$18))))</f>
        <v>0</v>
      </c>
      <c r="F211" s="67" t="n">
        <f aca="false">IF(F$5="A",0,IF((Project_Register!$AA$18-Project_Register!$X$18)&lt;=0,0,IF(1-Project_Register!$AC$18&lt;=0.000001,IF(Assumptions!F$99=Assumptions!$C$10+1,(Project_Register!$AA$18-Project_Register!$X$18),0),(Project_Register!$AA$18-Project_Register!$X$18)*(F209-F210)/(1-Project_Register!$AC$18))))</f>
        <v>0</v>
      </c>
      <c r="G211" s="67" t="n">
        <f aca="false">IF(G$5="A",0,IF((Project_Register!$AA$18-Project_Register!$X$18)&lt;=0,0,IF(1-Project_Register!$AC$18&lt;=0.000001,IF(Assumptions!G$99=Assumptions!$C$10+1,(Project_Register!$AA$18-Project_Register!$X$18),0),(Project_Register!$AA$18-Project_Register!$X$18)*(G209-G210)/(1-Project_Register!$AC$18))))</f>
        <v>0</v>
      </c>
      <c r="H211" s="67" t="n">
        <f aca="false">IF(H$5="A",0,IF((Project_Register!$AA$18-Project_Register!$X$18)&lt;=0,0,IF(1-Project_Register!$AC$18&lt;=0.000001,IF(Assumptions!H$99=Assumptions!$C$10+1,(Project_Register!$AA$18-Project_Register!$X$18),0),(Project_Register!$AA$18-Project_Register!$X$18)*(H209-H210)/(1-Project_Register!$AC$18))))</f>
        <v>0</v>
      </c>
      <c r="I211" s="67" t="n">
        <f aca="false">IF(I$5="A",0,IF((Project_Register!$AA$18-Project_Register!$X$18)&lt;=0,0,IF(1-Project_Register!$AC$18&lt;=0.000001,IF(Assumptions!I$99=Assumptions!$C$10+1,(Project_Register!$AA$18-Project_Register!$X$18),0),(Project_Register!$AA$18-Project_Register!$X$18)*(I209-I210)/(1-Project_Register!$AC$18))))</f>
        <v>0</v>
      </c>
      <c r="J211" s="67" t="n">
        <f aca="false">IF(J$5="A",0,IF((Project_Register!$AA$18-Project_Register!$X$18)&lt;=0,0,IF(1-Project_Register!$AC$18&lt;=0.000001,IF(Assumptions!J$99=Assumptions!$C$10+1,(Project_Register!$AA$18-Project_Register!$X$18),0),(Project_Register!$AA$18-Project_Register!$X$18)*(J209-J210)/(1-Project_Register!$AC$18))))</f>
        <v>0</v>
      </c>
      <c r="K211" s="67" t="n">
        <f aca="false">IF(K$5="A",0,IF((Project_Register!$AA$18-Project_Register!$X$18)&lt;=0,0,IF(1-Project_Register!$AC$18&lt;=0.000001,IF(Assumptions!K$99=Assumptions!$C$10+1,(Project_Register!$AA$18-Project_Register!$X$18),0),(Project_Register!$AA$18-Project_Register!$X$18)*(K209-K210)/(1-Project_Register!$AC$18))))</f>
        <v>0</v>
      </c>
      <c r="L211" s="67" t="n">
        <f aca="false">IF(L$5="A",0,IF((Project_Register!$AA$18-Project_Register!$X$18)&lt;=0,0,IF(1-Project_Register!$AC$18&lt;=0.000001,IF(Assumptions!L$99=Assumptions!$C$10+1,(Project_Register!$AA$18-Project_Register!$X$18),0),(Project_Register!$AA$18-Project_Register!$X$18)*(L209-L210)/(1-Project_Register!$AC$18))))</f>
        <v>0</v>
      </c>
      <c r="M211" s="67" t="n">
        <f aca="false">IF(M$5="A",0,IF((Project_Register!$AA$18-Project_Register!$X$18)&lt;=0,0,IF(1-Project_Register!$AC$18&lt;=0.000001,IF(Assumptions!M$99=Assumptions!$C$10+1,(Project_Register!$AA$18-Project_Register!$X$18),0),(Project_Register!$AA$18-Project_Register!$X$18)*(M209-M210)/(1-Project_Register!$AC$18))))</f>
        <v>0</v>
      </c>
      <c r="N211" s="67" t="n">
        <f aca="false">IF(N$5="A",0,IF((Project_Register!$AA$18-Project_Register!$X$18)&lt;=0,0,IF(1-Project_Register!$AC$18&lt;=0.000001,IF(Assumptions!N$99=Assumptions!$C$10+1,(Project_Register!$AA$18-Project_Register!$X$18),0),(Project_Register!$AA$18-Project_Register!$X$18)*(N209-N210)/(1-Project_Register!$AC$18))))</f>
        <v>76.5625</v>
      </c>
      <c r="O211" s="67" t="n">
        <f aca="false">IF(O$5="A",0,IF((Project_Register!$AA$18-Project_Register!$X$18)&lt;=0,0,IF(1-Project_Register!$AC$18&lt;=0.000001,IF(Assumptions!O$99=Assumptions!$C$10+1,(Project_Register!$AA$18-Project_Register!$X$18),0),(Project_Register!$AA$18-Project_Register!$X$18)*(O209-O210)/(1-Project_Register!$AC$18))))</f>
        <v>168.4375</v>
      </c>
      <c r="P211" s="67" t="n">
        <f aca="false">IF(P$5="A",0,IF((Project_Register!$AA$18-Project_Register!$X$18)&lt;=0,0,IF(1-Project_Register!$AC$18&lt;=0.000001,IF(Assumptions!P$99=Assumptions!$C$10+1,(Project_Register!$AA$18-Project_Register!$X$18),0),(Project_Register!$AA$18-Project_Register!$X$18)*(P209-P210)/(1-Project_Register!$AC$18))))</f>
        <v>168.4375</v>
      </c>
      <c r="Q211" s="67" t="n">
        <f aca="false">IF(Q$5="A",0,IF((Project_Register!$AA$18-Project_Register!$X$18)&lt;=0,0,IF(1-Project_Register!$AC$18&lt;=0.000001,IF(Assumptions!Q$99=Assumptions!$C$10+1,(Project_Register!$AA$18-Project_Register!$X$18),0),(Project_Register!$AA$18-Project_Register!$X$18)*(Q209-Q210)/(1-Project_Register!$AC$18))))</f>
        <v>76.5625</v>
      </c>
      <c r="R211" s="67" t="n">
        <f aca="false">IF(R$5="A",0,IF((Project_Register!$AA$18-Project_Register!$X$18)&lt;=0,0,IF(1-Project_Register!$AC$18&lt;=0.000001,IF(Assumptions!R$99=Assumptions!$C$10+1,(Project_Register!$AA$18-Project_Register!$X$18),0),(Project_Register!$AA$18-Project_Register!$X$18)*(R209-R210)/(1-Project_Register!$AC$18))))</f>
        <v>0</v>
      </c>
      <c r="S211" s="67" t="n">
        <f aca="false">IF(S$5="A",0,IF((Project_Register!$AA$18-Project_Register!$X$18)&lt;=0,0,IF(1-Project_Register!$AC$18&lt;=0.000001,IF(Assumptions!S$99=Assumptions!$C$10+1,(Project_Register!$AA$18-Project_Register!$X$18),0),(Project_Register!$AA$18-Project_Register!$X$18)*(S209-S210)/(1-Project_Register!$AC$18))))</f>
        <v>0</v>
      </c>
      <c r="T211" s="67" t="n">
        <f aca="false">IF(T$5="A",0,IF((Project_Register!$AA$18-Project_Register!$X$18)&lt;=0,0,IF(1-Project_Register!$AC$18&lt;=0.000001,IF(Assumptions!T$99=Assumptions!$C$10+1,(Project_Register!$AA$18-Project_Register!$X$18),0),(Project_Register!$AA$18-Project_Register!$X$18)*(T209-T210)/(1-Project_Register!$AC$18))))</f>
        <v>0</v>
      </c>
      <c r="U211" s="67" t="n">
        <f aca="false">IF(U$5="A",0,IF((Project_Register!$AA$18-Project_Register!$X$18)&lt;=0,0,IF(1-Project_Register!$AC$18&lt;=0.000001,IF(Assumptions!U$99=Assumptions!$C$10+1,(Project_Register!$AA$18-Project_Register!$X$18),0),(Project_Register!$AA$18-Project_Register!$X$18)*(U209-U210)/(1-Project_Register!$AC$18))))</f>
        <v>0</v>
      </c>
      <c r="V211" s="67" t="n">
        <f aca="false">IF(V$5="A",0,IF((Project_Register!$AA$18-Project_Register!$X$18)&lt;=0,0,IF(1-Project_Register!$AC$18&lt;=0.000001,IF(Assumptions!V$99=Assumptions!$C$10+1,(Project_Register!$AA$18-Project_Register!$X$18),0),(Project_Register!$AA$18-Project_Register!$X$18)*(V209-V210)/(1-Project_Register!$AC$18))))</f>
        <v>0</v>
      </c>
      <c r="W211" s="67" t="n">
        <f aca="false">IF(W$5="A",0,IF((Project_Register!$AA$18-Project_Register!$X$18)&lt;=0,0,IF(1-Project_Register!$AC$18&lt;=0.000001,IF(Assumptions!W$99=Assumptions!$C$10+1,(Project_Register!$AA$18-Project_Register!$X$18),0),(Project_Register!$AA$18-Project_Register!$X$18)*(W209-W210)/(1-Project_Register!$AC$18))))</f>
        <v>0</v>
      </c>
      <c r="X211" s="67" t="n">
        <f aca="false">IF(X$5="A",0,IF((Project_Register!$AA$18-Project_Register!$X$18)&lt;=0,0,IF(1-Project_Register!$AC$18&lt;=0.000001,IF(Assumptions!X$99=Assumptions!$C$10+1,(Project_Register!$AA$18-Project_Register!$X$18),0),(Project_Register!$AA$18-Project_Register!$X$18)*(X209-X210)/(1-Project_Register!$AC$18))))</f>
        <v>0</v>
      </c>
      <c r="Y211" s="67" t="n">
        <f aca="false">IF(Y$5="A",0,IF((Project_Register!$AA$18-Project_Register!$X$18)&lt;=0,0,IF(1-Project_Register!$AC$18&lt;=0.000001,IF(Assumptions!Y$99=Assumptions!$C$10+1,(Project_Register!$AA$18-Project_Register!$X$18),0),(Project_Register!$AA$18-Project_Register!$X$18)*(Y209-Y210)/(1-Project_Register!$AC$18))))</f>
        <v>0</v>
      </c>
      <c r="Z211" s="67" t="n">
        <f aca="false">IF(Z$5="A",0,IF((Project_Register!$AA$18-Project_Register!$X$18)&lt;=0,0,IF(1-Project_Register!$AC$18&lt;=0.000001,IF(Assumptions!Z$99=Assumptions!$C$10+1,(Project_Register!$AA$18-Project_Register!$X$18),0),(Project_Register!$AA$18-Project_Register!$X$18)*(Z209-Z210)/(1-Project_Register!$AC$18))))</f>
        <v>0</v>
      </c>
      <c r="AA211" s="67" t="n">
        <f aca="false">IF(AA$5="A",0,IF((Project_Register!$AA$18-Project_Register!$X$18)&lt;=0,0,IF(1-Project_Register!$AC$18&lt;=0.000001,IF(Assumptions!AA$99=Assumptions!$C$10+1,(Project_Register!$AA$18-Project_Register!$X$18),0),(Project_Register!$AA$18-Project_Register!$X$18)*(AA209-AA210)/(1-Project_Register!$AC$18))))</f>
        <v>0</v>
      </c>
      <c r="AB211" s="67" t="n">
        <f aca="false">IF(AB$5="A",0,IF((Project_Register!$AA$18-Project_Register!$X$18)&lt;=0,0,IF(1-Project_Register!$AC$18&lt;=0.000001,IF(Assumptions!AB$99=Assumptions!$C$10+1,(Project_Register!$AA$18-Project_Register!$X$18),0),(Project_Register!$AA$18-Project_Register!$X$18)*(AB209-AB210)/(1-Project_Register!$AC$18))))</f>
        <v>0</v>
      </c>
    </row>
    <row r="212" customFormat="false" ht="15" hidden="false" customHeight="false" outlineLevel="0" collapsed="false">
      <c r="A212" s="28" t="s">
        <v>911</v>
      </c>
      <c r="B212" s="58" t="s">
        <v>912</v>
      </c>
      <c r="C212" s="66" t="n">
        <f aca="false">P212</f>
        <v>413.4375</v>
      </c>
      <c r="D212" s="66" t="n">
        <f aca="false">AB212</f>
        <v>490</v>
      </c>
      <c r="E212" s="67" t="n">
        <f aca="false">Project_Register!$P$18+E211</f>
        <v>0</v>
      </c>
      <c r="F212" s="72" t="n">
        <f aca="false">E212+F211</f>
        <v>0</v>
      </c>
      <c r="G212" s="72" t="n">
        <f aca="false">F212+G211</f>
        <v>0</v>
      </c>
      <c r="H212" s="72" t="n">
        <f aca="false">G212+H211</f>
        <v>0</v>
      </c>
      <c r="I212" s="72" t="n">
        <f aca="false">H212+I211</f>
        <v>0</v>
      </c>
      <c r="J212" s="72" t="n">
        <f aca="false">I212+J211</f>
        <v>0</v>
      </c>
      <c r="K212" s="72" t="n">
        <f aca="false">J212+K211</f>
        <v>0</v>
      </c>
      <c r="L212" s="72" t="n">
        <f aca="false">K212+L211</f>
        <v>0</v>
      </c>
      <c r="M212" s="72" t="n">
        <f aca="false">L212+M211</f>
        <v>0</v>
      </c>
      <c r="N212" s="72" t="n">
        <f aca="false">M212+N211</f>
        <v>76.5625</v>
      </c>
      <c r="O212" s="72" t="n">
        <f aca="false">N212+O211</f>
        <v>245</v>
      </c>
      <c r="P212" s="72" t="n">
        <f aca="false">O212+P211</f>
        <v>413.4375</v>
      </c>
      <c r="Q212" s="72" t="n">
        <f aca="false">P212+Q211</f>
        <v>490</v>
      </c>
      <c r="R212" s="72" t="n">
        <f aca="false">Q212+R211</f>
        <v>490</v>
      </c>
      <c r="S212" s="72" t="n">
        <f aca="false">R212+S211</f>
        <v>490</v>
      </c>
      <c r="T212" s="72" t="n">
        <f aca="false">S212+T211</f>
        <v>490</v>
      </c>
      <c r="U212" s="72" t="n">
        <f aca="false">T212+U211</f>
        <v>490</v>
      </c>
      <c r="V212" s="72" t="n">
        <f aca="false">U212+V211</f>
        <v>490</v>
      </c>
      <c r="W212" s="72" t="n">
        <f aca="false">V212+W211</f>
        <v>490</v>
      </c>
      <c r="X212" s="72" t="n">
        <f aca="false">W212+X211</f>
        <v>490</v>
      </c>
      <c r="Y212" s="72" t="n">
        <f aca="false">X212+Y211</f>
        <v>490</v>
      </c>
      <c r="Z212" s="72" t="n">
        <f aca="false">Y212+Z211</f>
        <v>490</v>
      </c>
      <c r="AA212" s="72" t="n">
        <f aca="false">Z212+AA211</f>
        <v>490</v>
      </c>
      <c r="AB212" s="72" t="n">
        <f aca="false">AA212+AB211</f>
        <v>490</v>
      </c>
    </row>
    <row r="213" customFormat="false" ht="15" hidden="false" customHeight="false" outlineLevel="0" collapsed="false">
      <c r="A213" s="28" t="s">
        <v>913</v>
      </c>
      <c r="B213" s="58" t="s">
        <v>914</v>
      </c>
      <c r="C213" s="66" t="n">
        <f aca="false">P213</f>
        <v>490</v>
      </c>
      <c r="D213" s="66" t="n">
        <f aca="false">AB213</f>
        <v>490</v>
      </c>
      <c r="E213" s="67" t="n">
        <f aca="false">IF(E$5="A",Project_Register!$AA$18,Project_Register!$AA$18)</f>
        <v>490</v>
      </c>
      <c r="F213" s="67" t="n">
        <f aca="false">IF(F$5="A",Project_Register!$AA$18,Project_Register!$AA$18)</f>
        <v>490</v>
      </c>
      <c r="G213" s="67" t="n">
        <f aca="false">IF(G$5="A",Project_Register!$AA$18,Project_Register!$AA$18)</f>
        <v>490</v>
      </c>
      <c r="H213" s="67" t="n">
        <f aca="false">IF(H$5="A",Project_Register!$AA$18,Project_Register!$AA$18)</f>
        <v>490</v>
      </c>
      <c r="I213" s="67" t="n">
        <f aca="false">IF(I$5="A",Project_Register!$AA$18,Project_Register!$AA$18)</f>
        <v>490</v>
      </c>
      <c r="J213" s="67" t="n">
        <f aca="false">IF(J$5="A",Project_Register!$AA$18,Project_Register!$AA$18)</f>
        <v>490</v>
      </c>
      <c r="K213" s="67" t="n">
        <f aca="false">IF(K$5="A",Project_Register!$AA$18,Project_Register!$AA$18)</f>
        <v>490</v>
      </c>
      <c r="L213" s="67" t="n">
        <f aca="false">IF(L$5="A",Project_Register!$AA$18,Project_Register!$AA$18)</f>
        <v>490</v>
      </c>
      <c r="M213" s="67" t="n">
        <f aca="false">IF(M$5="A",Project_Register!$AA$18,Project_Register!$AA$18)</f>
        <v>490</v>
      </c>
      <c r="N213" s="67" t="n">
        <f aca="false">IF(N$5="A",Project_Register!$AA$18,Project_Register!$AA$18)</f>
        <v>490</v>
      </c>
      <c r="O213" s="67" t="n">
        <f aca="false">IF(O$5="A",Project_Register!$AA$18,Project_Register!$AA$18)</f>
        <v>490</v>
      </c>
      <c r="P213" s="67" t="n">
        <f aca="false">IF(P$5="A",Project_Register!$AA$18,Project_Register!$AA$18)</f>
        <v>490</v>
      </c>
      <c r="Q213" s="67" t="n">
        <f aca="false">IF(Q$5="A",Project_Register!$AA$18,Project_Register!$AA$18)</f>
        <v>490</v>
      </c>
      <c r="R213" s="67" t="n">
        <f aca="false">IF(R$5="A",Project_Register!$AA$18,Project_Register!$AA$18)</f>
        <v>490</v>
      </c>
      <c r="S213" s="67" t="n">
        <f aca="false">IF(S$5="A",Project_Register!$AA$18,Project_Register!$AA$18)</f>
        <v>490</v>
      </c>
      <c r="T213" s="67" t="n">
        <f aca="false">IF(T$5="A",Project_Register!$AA$18,Project_Register!$AA$18)</f>
        <v>490</v>
      </c>
      <c r="U213" s="67" t="n">
        <f aca="false">IF(U$5="A",Project_Register!$AA$18,Project_Register!$AA$18)</f>
        <v>490</v>
      </c>
      <c r="V213" s="67" t="n">
        <f aca="false">IF(V$5="A",Project_Register!$AA$18,Project_Register!$AA$18)</f>
        <v>490</v>
      </c>
      <c r="W213" s="67" t="n">
        <f aca="false">IF(W$5="A",Project_Register!$AA$18,Project_Register!$AA$18)</f>
        <v>490</v>
      </c>
      <c r="X213" s="67" t="n">
        <f aca="false">IF(X$5="A",Project_Register!$AA$18,Project_Register!$AA$18)</f>
        <v>490</v>
      </c>
      <c r="Y213" s="67" t="n">
        <f aca="false">IF(Y$5="A",Project_Register!$AA$18,Project_Register!$AA$18)</f>
        <v>490</v>
      </c>
      <c r="Z213" s="67" t="n">
        <f aca="false">IF(Z$5="A",Project_Register!$AA$18,Project_Register!$AA$18)</f>
        <v>490</v>
      </c>
      <c r="AA213" s="67" t="n">
        <f aca="false">IF(AA$5="A",Project_Register!$AA$18,Project_Register!$AA$18)</f>
        <v>490</v>
      </c>
      <c r="AB213" s="67" t="n">
        <f aca="false">IF(AB$5="A",Project_Register!$AA$18,Project_Register!$AA$18)</f>
        <v>490</v>
      </c>
    </row>
    <row r="214" customFormat="false" ht="15" hidden="false" customHeight="false" outlineLevel="0" collapsed="false">
      <c r="A214" s="28" t="s">
        <v>915</v>
      </c>
      <c r="B214" s="58" t="s">
        <v>916</v>
      </c>
      <c r="C214" s="61" t="n">
        <f aca="false">P214</f>
        <v>0.84375</v>
      </c>
      <c r="D214" s="61" t="n">
        <f aca="false">AB214</f>
        <v>1</v>
      </c>
      <c r="E214" s="62" t="n">
        <f aca="false">IF(E213&lt;=0,0,MIN(1,E212/E213))</f>
        <v>0</v>
      </c>
      <c r="F214" s="62" t="n">
        <f aca="false">IF(F213&lt;=0,0,MIN(1,F212/F213))</f>
        <v>0</v>
      </c>
      <c r="G214" s="62" t="n">
        <f aca="false">IF(G213&lt;=0,0,MIN(1,G212/G213))</f>
        <v>0</v>
      </c>
      <c r="H214" s="62" t="n">
        <f aca="false">IF(H213&lt;=0,0,MIN(1,H212/H213))</f>
        <v>0</v>
      </c>
      <c r="I214" s="62" t="n">
        <f aca="false">IF(I213&lt;=0,0,MIN(1,I212/I213))</f>
        <v>0</v>
      </c>
      <c r="J214" s="62" t="n">
        <f aca="false">IF(J213&lt;=0,0,MIN(1,J212/J213))</f>
        <v>0</v>
      </c>
      <c r="K214" s="62" t="n">
        <f aca="false">IF(K213&lt;=0,0,MIN(1,K212/K213))</f>
        <v>0</v>
      </c>
      <c r="L214" s="62" t="n">
        <f aca="false">IF(L213&lt;=0,0,MIN(1,L212/L213))</f>
        <v>0</v>
      </c>
      <c r="M214" s="62" t="n">
        <f aca="false">IF(M213&lt;=0,0,MIN(1,M212/M213))</f>
        <v>0</v>
      </c>
      <c r="N214" s="62" t="n">
        <f aca="false">IF(N213&lt;=0,0,MIN(1,N212/N213))</f>
        <v>0.15625</v>
      </c>
      <c r="O214" s="62" t="n">
        <f aca="false">IF(O213&lt;=0,0,MIN(1,O212/O213))</f>
        <v>0.5</v>
      </c>
      <c r="P214" s="62" t="n">
        <f aca="false">IF(P213&lt;=0,0,MIN(1,P212/P213))</f>
        <v>0.84375</v>
      </c>
      <c r="Q214" s="62" t="n">
        <f aca="false">IF(Q213&lt;=0,0,MIN(1,Q212/Q213))</f>
        <v>1</v>
      </c>
      <c r="R214" s="62" t="n">
        <f aca="false">IF(R213&lt;=0,0,MIN(1,R212/R213))</f>
        <v>1</v>
      </c>
      <c r="S214" s="62" t="n">
        <f aca="false">IF(S213&lt;=0,0,MIN(1,S212/S213))</f>
        <v>1</v>
      </c>
      <c r="T214" s="62" t="n">
        <f aca="false">IF(T213&lt;=0,0,MIN(1,T212/T213))</f>
        <v>1</v>
      </c>
      <c r="U214" s="62" t="n">
        <f aca="false">IF(U213&lt;=0,0,MIN(1,U212/U213))</f>
        <v>1</v>
      </c>
      <c r="V214" s="62" t="n">
        <f aca="false">IF(V213&lt;=0,0,MIN(1,V212/V213))</f>
        <v>1</v>
      </c>
      <c r="W214" s="62" t="n">
        <f aca="false">IF(W213&lt;=0,0,MIN(1,W212/W213))</f>
        <v>1</v>
      </c>
      <c r="X214" s="62" t="n">
        <f aca="false">IF(X213&lt;=0,0,MIN(1,X212/X213))</f>
        <v>1</v>
      </c>
      <c r="Y214" s="62" t="n">
        <f aca="false">IF(Y213&lt;=0,0,MIN(1,Y212/Y213))</f>
        <v>1</v>
      </c>
      <c r="Z214" s="62" t="n">
        <f aca="false">IF(Z213&lt;=0,0,MIN(1,Z212/Z213))</f>
        <v>1</v>
      </c>
      <c r="AA214" s="62" t="n">
        <f aca="false">IF(AA213&lt;=0,0,MIN(1,AA212/AA213))</f>
        <v>1</v>
      </c>
      <c r="AB214" s="62" t="n">
        <f aca="false">IF(AB213&lt;=0,0,MIN(1,AB212/AB213))</f>
        <v>1</v>
      </c>
    </row>
    <row r="215" customFormat="false" ht="15" hidden="false" customHeight="false" outlineLevel="0" collapsed="false">
      <c r="A215" s="28" t="s">
        <v>917</v>
      </c>
      <c r="B215" s="58" t="s">
        <v>918</v>
      </c>
      <c r="C215" s="59" t="n">
        <f aca="false">P215</f>
        <v>49000</v>
      </c>
      <c r="D215" s="59" t="n">
        <f aca="false">AB215</f>
        <v>49000</v>
      </c>
      <c r="E215" s="60" t="n">
        <f aca="false">IF(E$5="A",0,Project_Register!$W$18)</f>
        <v>0</v>
      </c>
      <c r="F215" s="60" t="n">
        <f aca="false">IF(F$5="A",0,Project_Register!$W$18)</f>
        <v>0</v>
      </c>
      <c r="G215" s="60" t="n">
        <f aca="false">IF(G$5="A",0,Project_Register!$W$18)</f>
        <v>0</v>
      </c>
      <c r="H215" s="60" t="n">
        <f aca="false">IF(H$5="A",0,Project_Register!$W$18)</f>
        <v>0</v>
      </c>
      <c r="I215" s="60" t="n">
        <f aca="false">IF(I$5="A",0,Project_Register!$W$18)</f>
        <v>0</v>
      </c>
      <c r="J215" s="60" t="n">
        <f aca="false">IF(J$5="A",0,Project_Register!$W$18)</f>
        <v>0</v>
      </c>
      <c r="K215" s="60" t="n">
        <f aca="false">IF(K$5="A",0,Project_Register!$W$18)</f>
        <v>0</v>
      </c>
      <c r="L215" s="60" t="n">
        <f aca="false">IF(L$5="A",0,Project_Register!$W$18)</f>
        <v>0</v>
      </c>
      <c r="M215" s="60" t="n">
        <f aca="false">IF(M$5="A",0,Project_Register!$W$18)</f>
        <v>49000</v>
      </c>
      <c r="N215" s="60" t="n">
        <f aca="false">IF(N$5="A",0,Project_Register!$W$18)</f>
        <v>49000</v>
      </c>
      <c r="O215" s="60" t="n">
        <f aca="false">IF(O$5="A",0,Project_Register!$W$18)</f>
        <v>49000</v>
      </c>
      <c r="P215" s="60" t="n">
        <f aca="false">IF(P$5="A",0,Project_Register!$W$18)</f>
        <v>49000</v>
      </c>
      <c r="Q215" s="60" t="n">
        <f aca="false">IF(Q$5="A",0,Project_Register!$W$18)</f>
        <v>49000</v>
      </c>
      <c r="R215" s="60" t="n">
        <f aca="false">IF(R$5="A",0,Project_Register!$W$18)</f>
        <v>49000</v>
      </c>
      <c r="S215" s="60" t="n">
        <f aca="false">IF(S$5="A",0,Project_Register!$W$18)</f>
        <v>49000</v>
      </c>
      <c r="T215" s="60" t="n">
        <f aca="false">IF(T$5="A",0,Project_Register!$W$18)</f>
        <v>49000</v>
      </c>
      <c r="U215" s="60" t="n">
        <f aca="false">IF(U$5="A",0,Project_Register!$W$18)</f>
        <v>49000</v>
      </c>
      <c r="V215" s="60" t="n">
        <f aca="false">IF(V$5="A",0,Project_Register!$W$18)</f>
        <v>49000</v>
      </c>
      <c r="W215" s="60" t="n">
        <f aca="false">IF(W$5="A",0,Project_Register!$W$18)</f>
        <v>49000</v>
      </c>
      <c r="X215" s="60" t="n">
        <f aca="false">IF(X$5="A",0,Project_Register!$W$18)</f>
        <v>49000</v>
      </c>
      <c r="Y215" s="60" t="n">
        <f aca="false">IF(Y$5="A",0,Project_Register!$W$18)</f>
        <v>49000</v>
      </c>
      <c r="Z215" s="60" t="n">
        <f aca="false">IF(Z$5="A",0,Project_Register!$W$18)</f>
        <v>49000</v>
      </c>
      <c r="AA215" s="60" t="n">
        <f aca="false">IF(AA$5="A",0,Project_Register!$W$18)</f>
        <v>49000</v>
      </c>
      <c r="AB215" s="60" t="n">
        <f aca="false">IF(AB$5="A",0,Project_Register!$W$18)</f>
        <v>49000</v>
      </c>
    </row>
    <row r="216" customFormat="false" ht="15" hidden="false" customHeight="false" outlineLevel="0" collapsed="false">
      <c r="A216" s="28" t="s">
        <v>919</v>
      </c>
      <c r="B216" s="58" t="s">
        <v>920</v>
      </c>
      <c r="C216" s="59" t="n">
        <f aca="false">P216</f>
        <v>41343.75</v>
      </c>
      <c r="D216" s="59" t="n">
        <f aca="false">AB216</f>
        <v>49000</v>
      </c>
      <c r="E216" s="60" t="n">
        <f aca="false">IF(E$5="A",Project_Register!$Q$18+0,E214*E215)</f>
        <v>0</v>
      </c>
      <c r="F216" s="71" t="n">
        <f aca="false">IF(F$5="A",E216+0,F214*F215)</f>
        <v>0</v>
      </c>
      <c r="G216" s="71" t="n">
        <f aca="false">IF(G$5="A",F216+0,G214*G215)</f>
        <v>0</v>
      </c>
      <c r="H216" s="71" t="n">
        <f aca="false">IF(H$5="A",G216+0,H214*H215)</f>
        <v>0</v>
      </c>
      <c r="I216" s="71" t="n">
        <f aca="false">IF(I$5="A",H216+0,I214*I215)</f>
        <v>0</v>
      </c>
      <c r="J216" s="71" t="n">
        <f aca="false">IF(J$5="A",I216+0,J214*J215)</f>
        <v>0</v>
      </c>
      <c r="K216" s="71" t="n">
        <f aca="false">IF(K$5="A",J216+0,K214*K215)</f>
        <v>0</v>
      </c>
      <c r="L216" s="71" t="n">
        <f aca="false">IF(L$5="A",K216+0,L214*L215)</f>
        <v>0</v>
      </c>
      <c r="M216" s="71" t="n">
        <f aca="false">IF(M$5="A",L216+0,M214*M215)</f>
        <v>0</v>
      </c>
      <c r="N216" s="71" t="n">
        <f aca="false">IF(N$5="A",M216+0,N214*N215)</f>
        <v>7656.25</v>
      </c>
      <c r="O216" s="71" t="n">
        <f aca="false">IF(O$5="A",N216+0,O214*O215)</f>
        <v>24500</v>
      </c>
      <c r="P216" s="71" t="n">
        <f aca="false">IF(P$5="A",O216+0,P214*P215)</f>
        <v>41343.75</v>
      </c>
      <c r="Q216" s="71" t="n">
        <f aca="false">IF(Q$5="A",P216+0,Q214*Q215)</f>
        <v>49000</v>
      </c>
      <c r="R216" s="71" t="n">
        <f aca="false">IF(R$5="A",Q216+0,R214*R215)</f>
        <v>49000</v>
      </c>
      <c r="S216" s="71" t="n">
        <f aca="false">IF(S$5="A",R216+0,S214*S215)</f>
        <v>49000</v>
      </c>
      <c r="T216" s="71" t="n">
        <f aca="false">IF(T$5="A",S216+0,T214*T215)</f>
        <v>49000</v>
      </c>
      <c r="U216" s="71" t="n">
        <f aca="false">IF(U$5="A",T216+0,U214*U215)</f>
        <v>49000</v>
      </c>
      <c r="V216" s="71" t="n">
        <f aca="false">IF(V$5="A",U216+0,V214*V215)</f>
        <v>49000</v>
      </c>
      <c r="W216" s="71" t="n">
        <f aca="false">IF(W$5="A",V216+0,W214*W215)</f>
        <v>49000</v>
      </c>
      <c r="X216" s="71" t="n">
        <f aca="false">IF(X$5="A",W216+0,X214*X215)</f>
        <v>49000</v>
      </c>
      <c r="Y216" s="71" t="n">
        <f aca="false">IF(Y$5="A",X216+0,Y214*Y215)</f>
        <v>49000</v>
      </c>
      <c r="Z216" s="71" t="n">
        <f aca="false">IF(Z$5="A",Y216+0,Z214*Z215)</f>
        <v>49000</v>
      </c>
      <c r="AA216" s="71" t="n">
        <f aca="false">IF(AA$5="A",Z216+0,AA214*AA215)</f>
        <v>49000</v>
      </c>
      <c r="AB216" s="71" t="n">
        <f aca="false">IF(AB$5="A",AA216+0,AB214*AB215)</f>
        <v>49000</v>
      </c>
    </row>
    <row r="217" customFormat="false" ht="15" hidden="false" customHeight="false" outlineLevel="0" collapsed="false">
      <c r="A217" s="68" t="s">
        <v>921</v>
      </c>
      <c r="B217" s="69" t="s">
        <v>922</v>
      </c>
      <c r="C217" s="70" t="n">
        <f aca="false">SUM(E217:P217)</f>
        <v>41343.75</v>
      </c>
      <c r="D217" s="70" t="n">
        <f aca="false">SUM(Q217:AB217)</f>
        <v>7656.25</v>
      </c>
      <c r="E217" s="74" t="n">
        <f aca="false">E216-Project_Register!$Q$18</f>
        <v>0</v>
      </c>
      <c r="F217" s="70" t="n">
        <f aca="false">F216-E216</f>
        <v>0</v>
      </c>
      <c r="G217" s="70" t="n">
        <f aca="false">G216-F216</f>
        <v>0</v>
      </c>
      <c r="H217" s="70" t="n">
        <f aca="false">H216-G216</f>
        <v>0</v>
      </c>
      <c r="I217" s="70" t="n">
        <f aca="false">I216-H216</f>
        <v>0</v>
      </c>
      <c r="J217" s="70" t="n">
        <f aca="false">J216-I216</f>
        <v>0</v>
      </c>
      <c r="K217" s="70" t="n">
        <f aca="false">K216-J216</f>
        <v>0</v>
      </c>
      <c r="L217" s="70" t="n">
        <f aca="false">L216-K216</f>
        <v>0</v>
      </c>
      <c r="M217" s="70" t="n">
        <f aca="false">M216-L216</f>
        <v>0</v>
      </c>
      <c r="N217" s="70" t="n">
        <f aca="false">N216-M216</f>
        <v>7656.25</v>
      </c>
      <c r="O217" s="70" t="n">
        <f aca="false">O216-N216</f>
        <v>16843.75</v>
      </c>
      <c r="P217" s="70" t="n">
        <f aca="false">P216-O216</f>
        <v>16843.75</v>
      </c>
      <c r="Q217" s="70" t="n">
        <f aca="false">Q216-P216</f>
        <v>7656.25</v>
      </c>
      <c r="R217" s="70" t="n">
        <f aca="false">R216-Q216</f>
        <v>0</v>
      </c>
      <c r="S217" s="70" t="n">
        <f aca="false">S216-R216</f>
        <v>0</v>
      </c>
      <c r="T217" s="70" t="n">
        <f aca="false">T216-S216</f>
        <v>0</v>
      </c>
      <c r="U217" s="70" t="n">
        <f aca="false">U216-T216</f>
        <v>0</v>
      </c>
      <c r="V217" s="70" t="n">
        <f aca="false">V216-U216</f>
        <v>0</v>
      </c>
      <c r="W217" s="70" t="n">
        <f aca="false">W216-V216</f>
        <v>0</v>
      </c>
      <c r="X217" s="70" t="n">
        <f aca="false">X216-W216</f>
        <v>0</v>
      </c>
      <c r="Y217" s="70" t="n">
        <f aca="false">Y216-X216</f>
        <v>0</v>
      </c>
      <c r="Z217" s="70" t="n">
        <f aca="false">Z216-Y216</f>
        <v>0</v>
      </c>
      <c r="AA217" s="70" t="n">
        <f aca="false">AA216-Z216</f>
        <v>0</v>
      </c>
      <c r="AB217" s="70" t="n">
        <f aca="false">AB216-AA216</f>
        <v>0</v>
      </c>
    </row>
    <row r="218" customFormat="false" ht="15" hidden="false" customHeight="false" outlineLevel="0" collapsed="false">
      <c r="A218" s="28" t="s">
        <v>923</v>
      </c>
      <c r="B218" s="58" t="s">
        <v>924</v>
      </c>
      <c r="C218" s="59" t="n">
        <f aca="false">P218</f>
        <v>34300</v>
      </c>
      <c r="D218" s="59" t="n">
        <f aca="false">AB218</f>
        <v>49000</v>
      </c>
      <c r="E218" s="60" t="n">
        <f aca="false">E215*(Assumptions!$C$71*(Assumptions!E$99&gt;=Project_Register!$T$18)+Assumptions!$C$72*(Assumptions!E$99&gt;=Project_Register!$V$18)+Assumptions!$C$73*(Assumptions!E$99&gt;=Project_Register!$U$18))</f>
        <v>0</v>
      </c>
      <c r="F218" s="60" t="n">
        <f aca="false">F215*(Assumptions!$C$71*(Assumptions!F$99&gt;=Project_Register!$T$18)+Assumptions!$C$72*(Assumptions!F$99&gt;=Project_Register!$V$18)+Assumptions!$C$73*(Assumptions!F$99&gt;=Project_Register!$U$18))</f>
        <v>0</v>
      </c>
      <c r="G218" s="60" t="n">
        <f aca="false">G215*(Assumptions!$C$71*(Assumptions!G$99&gt;=Project_Register!$T$18)+Assumptions!$C$72*(Assumptions!G$99&gt;=Project_Register!$V$18)+Assumptions!$C$73*(Assumptions!G$99&gt;=Project_Register!$U$18))</f>
        <v>0</v>
      </c>
      <c r="H218" s="60" t="n">
        <f aca="false">H215*(Assumptions!$C$71*(Assumptions!H$99&gt;=Project_Register!$T$18)+Assumptions!$C$72*(Assumptions!H$99&gt;=Project_Register!$V$18)+Assumptions!$C$73*(Assumptions!H$99&gt;=Project_Register!$U$18))</f>
        <v>0</v>
      </c>
      <c r="I218" s="60" t="n">
        <f aca="false">I215*(Assumptions!$C$71*(Assumptions!I$99&gt;=Project_Register!$T$18)+Assumptions!$C$72*(Assumptions!I$99&gt;=Project_Register!$V$18)+Assumptions!$C$73*(Assumptions!I$99&gt;=Project_Register!$U$18))</f>
        <v>0</v>
      </c>
      <c r="J218" s="60" t="n">
        <f aca="false">J215*(Assumptions!$C$71*(Assumptions!J$99&gt;=Project_Register!$T$18)+Assumptions!$C$72*(Assumptions!J$99&gt;=Project_Register!$V$18)+Assumptions!$C$73*(Assumptions!J$99&gt;=Project_Register!$U$18))</f>
        <v>0</v>
      </c>
      <c r="K218" s="60" t="n">
        <f aca="false">K215*(Assumptions!$C$71*(Assumptions!K$99&gt;=Project_Register!$T$18)+Assumptions!$C$72*(Assumptions!K$99&gt;=Project_Register!$V$18)+Assumptions!$C$73*(Assumptions!K$99&gt;=Project_Register!$U$18))</f>
        <v>0</v>
      </c>
      <c r="L218" s="60" t="n">
        <f aca="false">L215*(Assumptions!$C$71*(Assumptions!L$99&gt;=Project_Register!$T$18)+Assumptions!$C$72*(Assumptions!L$99&gt;=Project_Register!$V$18)+Assumptions!$C$73*(Assumptions!L$99&gt;=Project_Register!$U$18))</f>
        <v>0</v>
      </c>
      <c r="M218" s="60" t="n">
        <f aca="false">M215*(Assumptions!$C$71*(Assumptions!M$99&gt;=Project_Register!$T$18)+Assumptions!$C$72*(Assumptions!M$99&gt;=Project_Register!$V$18)+Assumptions!$C$73*(Assumptions!M$99&gt;=Project_Register!$U$18))</f>
        <v>0</v>
      </c>
      <c r="N218" s="60" t="n">
        <f aca="false">N215*(Assumptions!$C$71*(Assumptions!N$99&gt;=Project_Register!$T$18)+Assumptions!$C$72*(Assumptions!N$99&gt;=Project_Register!$V$18)+Assumptions!$C$73*(Assumptions!N$99&gt;=Project_Register!$U$18))</f>
        <v>14700</v>
      </c>
      <c r="O218" s="60" t="n">
        <f aca="false">O215*(Assumptions!$C$71*(Assumptions!O$99&gt;=Project_Register!$T$18)+Assumptions!$C$72*(Assumptions!O$99&gt;=Project_Register!$V$18)+Assumptions!$C$73*(Assumptions!O$99&gt;=Project_Register!$U$18))</f>
        <v>14700</v>
      </c>
      <c r="P218" s="60" t="n">
        <f aca="false">P215*(Assumptions!$C$71*(Assumptions!P$99&gt;=Project_Register!$T$18)+Assumptions!$C$72*(Assumptions!P$99&gt;=Project_Register!$V$18)+Assumptions!$C$73*(Assumptions!P$99&gt;=Project_Register!$U$18))</f>
        <v>34300</v>
      </c>
      <c r="Q218" s="60" t="n">
        <f aca="false">Q215*(Assumptions!$C$71*(Assumptions!Q$99&gt;=Project_Register!$T$18)+Assumptions!$C$72*(Assumptions!Q$99&gt;=Project_Register!$V$18)+Assumptions!$C$73*(Assumptions!Q$99&gt;=Project_Register!$U$18))</f>
        <v>49000</v>
      </c>
      <c r="R218" s="60" t="n">
        <f aca="false">R215*(Assumptions!$C$71*(Assumptions!R$99&gt;=Project_Register!$T$18)+Assumptions!$C$72*(Assumptions!R$99&gt;=Project_Register!$V$18)+Assumptions!$C$73*(Assumptions!R$99&gt;=Project_Register!$U$18))</f>
        <v>49000</v>
      </c>
      <c r="S218" s="60" t="n">
        <f aca="false">S215*(Assumptions!$C$71*(Assumptions!S$99&gt;=Project_Register!$T$18)+Assumptions!$C$72*(Assumptions!S$99&gt;=Project_Register!$V$18)+Assumptions!$C$73*(Assumptions!S$99&gt;=Project_Register!$U$18))</f>
        <v>49000</v>
      </c>
      <c r="T218" s="60" t="n">
        <f aca="false">T215*(Assumptions!$C$71*(Assumptions!T$99&gt;=Project_Register!$T$18)+Assumptions!$C$72*(Assumptions!T$99&gt;=Project_Register!$V$18)+Assumptions!$C$73*(Assumptions!T$99&gt;=Project_Register!$U$18))</f>
        <v>49000</v>
      </c>
      <c r="U218" s="60" t="n">
        <f aca="false">U215*(Assumptions!$C$71*(Assumptions!U$99&gt;=Project_Register!$T$18)+Assumptions!$C$72*(Assumptions!U$99&gt;=Project_Register!$V$18)+Assumptions!$C$73*(Assumptions!U$99&gt;=Project_Register!$U$18))</f>
        <v>49000</v>
      </c>
      <c r="V218" s="60" t="n">
        <f aca="false">V215*(Assumptions!$C$71*(Assumptions!V$99&gt;=Project_Register!$T$18)+Assumptions!$C$72*(Assumptions!V$99&gt;=Project_Register!$V$18)+Assumptions!$C$73*(Assumptions!V$99&gt;=Project_Register!$U$18))</f>
        <v>49000</v>
      </c>
      <c r="W218" s="60" t="n">
        <f aca="false">W215*(Assumptions!$C$71*(Assumptions!W$99&gt;=Project_Register!$T$18)+Assumptions!$C$72*(Assumptions!W$99&gt;=Project_Register!$V$18)+Assumptions!$C$73*(Assumptions!W$99&gt;=Project_Register!$U$18))</f>
        <v>49000</v>
      </c>
      <c r="X218" s="60" t="n">
        <f aca="false">X215*(Assumptions!$C$71*(Assumptions!X$99&gt;=Project_Register!$T$18)+Assumptions!$C$72*(Assumptions!X$99&gt;=Project_Register!$V$18)+Assumptions!$C$73*(Assumptions!X$99&gt;=Project_Register!$U$18))</f>
        <v>49000</v>
      </c>
      <c r="Y218" s="60" t="n">
        <f aca="false">Y215*(Assumptions!$C$71*(Assumptions!Y$99&gt;=Project_Register!$T$18)+Assumptions!$C$72*(Assumptions!Y$99&gt;=Project_Register!$V$18)+Assumptions!$C$73*(Assumptions!Y$99&gt;=Project_Register!$U$18))</f>
        <v>49000</v>
      </c>
      <c r="Z218" s="60" t="n">
        <f aca="false">Z215*(Assumptions!$C$71*(Assumptions!Z$99&gt;=Project_Register!$T$18)+Assumptions!$C$72*(Assumptions!Z$99&gt;=Project_Register!$V$18)+Assumptions!$C$73*(Assumptions!Z$99&gt;=Project_Register!$U$18))</f>
        <v>49000</v>
      </c>
      <c r="AA218" s="60" t="n">
        <f aca="false">AA215*(Assumptions!$C$71*(Assumptions!AA$99&gt;=Project_Register!$T$18)+Assumptions!$C$72*(Assumptions!AA$99&gt;=Project_Register!$V$18)+Assumptions!$C$73*(Assumptions!AA$99&gt;=Project_Register!$U$18))</f>
        <v>49000</v>
      </c>
      <c r="AB218" s="60" t="n">
        <f aca="false">AB215*(Assumptions!$C$71*(Assumptions!AB$99&gt;=Project_Register!$T$18)+Assumptions!$C$72*(Assumptions!AB$99&gt;=Project_Register!$V$18)+Assumptions!$C$73*(Assumptions!AB$99&gt;=Project_Register!$U$18))</f>
        <v>49000</v>
      </c>
    </row>
    <row r="219" customFormat="false" ht="15" hidden="false" customHeight="false" outlineLevel="0" collapsed="false">
      <c r="A219" s="28" t="s">
        <v>925</v>
      </c>
      <c r="B219" s="58" t="s">
        <v>926</v>
      </c>
      <c r="C219" s="59" t="n">
        <f aca="false">SUM(E219:P219)</f>
        <v>34300</v>
      </c>
      <c r="D219" s="59" t="n">
        <f aca="false">SUM(Q219:AB219)</f>
        <v>14700</v>
      </c>
      <c r="E219" s="60" t="n">
        <f aca="false">IF(E$5="A",0,MAX(0,E218-Project_Register!$R$18))</f>
        <v>0</v>
      </c>
      <c r="F219" s="71" t="n">
        <f aca="false">IF(F$5="A",0,MAX(0,F218-E220))</f>
        <v>0</v>
      </c>
      <c r="G219" s="71" t="n">
        <f aca="false">IF(G$5="A",0,MAX(0,G218-F220))</f>
        <v>0</v>
      </c>
      <c r="H219" s="71" t="n">
        <f aca="false">IF(H$5="A",0,MAX(0,H218-G220))</f>
        <v>0</v>
      </c>
      <c r="I219" s="71" t="n">
        <f aca="false">IF(I$5="A",0,MAX(0,I218-H220))</f>
        <v>0</v>
      </c>
      <c r="J219" s="71" t="n">
        <f aca="false">IF(J$5="A",0,MAX(0,J218-I220))</f>
        <v>0</v>
      </c>
      <c r="K219" s="71" t="n">
        <f aca="false">IF(K$5="A",0,MAX(0,K218-J220))</f>
        <v>0</v>
      </c>
      <c r="L219" s="71" t="n">
        <f aca="false">IF(L$5="A",0,MAX(0,L218-K220))</f>
        <v>0</v>
      </c>
      <c r="M219" s="71" t="n">
        <f aca="false">IF(M$5="A",0,MAX(0,M218-L220))</f>
        <v>0</v>
      </c>
      <c r="N219" s="71" t="n">
        <f aca="false">IF(N$5="A",0,MAX(0,N218-M220))</f>
        <v>14700</v>
      </c>
      <c r="O219" s="71" t="n">
        <f aca="false">IF(O$5="A",0,MAX(0,O218-N220))</f>
        <v>0</v>
      </c>
      <c r="P219" s="71" t="n">
        <f aca="false">IF(P$5="A",0,MAX(0,P218-O220))</f>
        <v>19600</v>
      </c>
      <c r="Q219" s="71" t="n">
        <f aca="false">IF(Q$5="A",0,MAX(0,Q218-P220))</f>
        <v>14700</v>
      </c>
      <c r="R219" s="71" t="n">
        <f aca="false">IF(R$5="A",0,MAX(0,R218-Q220))</f>
        <v>0</v>
      </c>
      <c r="S219" s="71" t="n">
        <f aca="false">IF(S$5="A",0,MAX(0,S218-R220))</f>
        <v>0</v>
      </c>
      <c r="T219" s="71" t="n">
        <f aca="false">IF(T$5="A",0,MAX(0,T218-S220))</f>
        <v>0</v>
      </c>
      <c r="U219" s="71" t="n">
        <f aca="false">IF(U$5="A",0,MAX(0,U218-T220))</f>
        <v>0</v>
      </c>
      <c r="V219" s="71" t="n">
        <f aca="false">IF(V$5="A",0,MAX(0,V218-U220))</f>
        <v>0</v>
      </c>
      <c r="W219" s="71" t="n">
        <f aca="false">IF(W$5="A",0,MAX(0,W218-V220))</f>
        <v>0</v>
      </c>
      <c r="X219" s="71" t="n">
        <f aca="false">IF(X$5="A",0,MAX(0,X218-W220))</f>
        <v>0</v>
      </c>
      <c r="Y219" s="71" t="n">
        <f aca="false">IF(Y$5="A",0,MAX(0,Y218-X220))</f>
        <v>0</v>
      </c>
      <c r="Z219" s="71" t="n">
        <f aca="false">IF(Z$5="A",0,MAX(0,Z218-Y220))</f>
        <v>0</v>
      </c>
      <c r="AA219" s="71" t="n">
        <f aca="false">IF(AA$5="A",0,MAX(0,AA218-Z220))</f>
        <v>0</v>
      </c>
      <c r="AB219" s="71" t="n">
        <f aca="false">IF(AB$5="A",0,MAX(0,AB218-AA220))</f>
        <v>0</v>
      </c>
    </row>
    <row r="220" customFormat="false" ht="15" hidden="false" customHeight="false" outlineLevel="0" collapsed="false">
      <c r="A220" s="28" t="s">
        <v>927</v>
      </c>
      <c r="B220" s="58"/>
      <c r="C220" s="59" t="n">
        <f aca="false">P220</f>
        <v>34300</v>
      </c>
      <c r="D220" s="59" t="n">
        <f aca="false">AB220</f>
        <v>49000</v>
      </c>
      <c r="E220" s="60" t="n">
        <f aca="false">Project_Register!$R$18+E219</f>
        <v>0</v>
      </c>
      <c r="F220" s="71" t="n">
        <f aca="false">E220+F219</f>
        <v>0</v>
      </c>
      <c r="G220" s="71" t="n">
        <f aca="false">F220+G219</f>
        <v>0</v>
      </c>
      <c r="H220" s="71" t="n">
        <f aca="false">G220+H219</f>
        <v>0</v>
      </c>
      <c r="I220" s="71" t="n">
        <f aca="false">H220+I219</f>
        <v>0</v>
      </c>
      <c r="J220" s="71" t="n">
        <f aca="false">I220+J219</f>
        <v>0</v>
      </c>
      <c r="K220" s="71" t="n">
        <f aca="false">J220+K219</f>
        <v>0</v>
      </c>
      <c r="L220" s="71" t="n">
        <f aca="false">K220+L219</f>
        <v>0</v>
      </c>
      <c r="M220" s="71" t="n">
        <f aca="false">L220+M219</f>
        <v>0</v>
      </c>
      <c r="N220" s="71" t="n">
        <f aca="false">M220+N219</f>
        <v>14700</v>
      </c>
      <c r="O220" s="71" t="n">
        <f aca="false">N220+O219</f>
        <v>14700</v>
      </c>
      <c r="P220" s="71" t="n">
        <f aca="false">O220+P219</f>
        <v>34300</v>
      </c>
      <c r="Q220" s="71" t="n">
        <f aca="false">P220+Q219</f>
        <v>49000</v>
      </c>
      <c r="R220" s="71" t="n">
        <f aca="false">Q220+R219</f>
        <v>49000</v>
      </c>
      <c r="S220" s="71" t="n">
        <f aca="false">R220+S219</f>
        <v>49000</v>
      </c>
      <c r="T220" s="71" t="n">
        <f aca="false">S220+T219</f>
        <v>49000</v>
      </c>
      <c r="U220" s="71" t="n">
        <f aca="false">T220+U219</f>
        <v>49000</v>
      </c>
      <c r="V220" s="71" t="n">
        <f aca="false">U220+V219</f>
        <v>49000</v>
      </c>
      <c r="W220" s="71" t="n">
        <f aca="false">V220+W219</f>
        <v>49000</v>
      </c>
      <c r="X220" s="71" t="n">
        <f aca="false">W220+X219</f>
        <v>49000</v>
      </c>
      <c r="Y220" s="71" t="n">
        <f aca="false">X220+Y219</f>
        <v>49000</v>
      </c>
      <c r="Z220" s="71" t="n">
        <f aca="false">Y220+Z219</f>
        <v>49000</v>
      </c>
      <c r="AA220" s="71" t="n">
        <f aca="false">Z220+AA219</f>
        <v>49000</v>
      </c>
      <c r="AB220" s="71" t="n">
        <f aca="false">AA220+AB219</f>
        <v>49000</v>
      </c>
    </row>
    <row r="221" customFormat="false" ht="15" hidden="false" customHeight="false" outlineLevel="0" collapsed="false">
      <c r="A221" s="28" t="s">
        <v>928</v>
      </c>
      <c r="B221" s="58" t="s">
        <v>929</v>
      </c>
      <c r="C221" s="59" t="n">
        <f aca="false">P221</f>
        <v>7043.74999999999</v>
      </c>
      <c r="D221" s="59" t="n">
        <f aca="false">AB221</f>
        <v>0</v>
      </c>
      <c r="E221" s="71" t="n">
        <f aca="false">E216-E220</f>
        <v>0</v>
      </c>
      <c r="F221" s="71" t="n">
        <f aca="false">F216-F220</f>
        <v>0</v>
      </c>
      <c r="G221" s="71" t="n">
        <f aca="false">G216-G220</f>
        <v>0</v>
      </c>
      <c r="H221" s="71" t="n">
        <f aca="false">H216-H220</f>
        <v>0</v>
      </c>
      <c r="I221" s="71" t="n">
        <f aca="false">I216-I220</f>
        <v>0</v>
      </c>
      <c r="J221" s="71" t="n">
        <f aca="false">J216-J220</f>
        <v>0</v>
      </c>
      <c r="K221" s="71" t="n">
        <f aca="false">K216-K220</f>
        <v>0</v>
      </c>
      <c r="L221" s="71" t="n">
        <f aca="false">L216-L220</f>
        <v>0</v>
      </c>
      <c r="M221" s="71" t="n">
        <f aca="false">M216-M220</f>
        <v>0</v>
      </c>
      <c r="N221" s="71" t="n">
        <f aca="false">N216-N220</f>
        <v>-7043.75</v>
      </c>
      <c r="O221" s="71" t="n">
        <f aca="false">O216-O220</f>
        <v>9800</v>
      </c>
      <c r="P221" s="71" t="n">
        <f aca="false">P216-P220</f>
        <v>7043.74999999999</v>
      </c>
      <c r="Q221" s="71" t="n">
        <f aca="false">Q216-Q220</f>
        <v>0</v>
      </c>
      <c r="R221" s="71" t="n">
        <f aca="false">R216-R220</f>
        <v>0</v>
      </c>
      <c r="S221" s="71" t="n">
        <f aca="false">S216-S220</f>
        <v>0</v>
      </c>
      <c r="T221" s="71" t="n">
        <f aca="false">T216-T220</f>
        <v>0</v>
      </c>
      <c r="U221" s="71" t="n">
        <f aca="false">U216-U220</f>
        <v>0</v>
      </c>
      <c r="V221" s="71" t="n">
        <f aca="false">V216-V220</f>
        <v>0</v>
      </c>
      <c r="W221" s="71" t="n">
        <f aca="false">W216-W220</f>
        <v>0</v>
      </c>
      <c r="X221" s="71" t="n">
        <f aca="false">X216-X220</f>
        <v>0</v>
      </c>
      <c r="Y221" s="71" t="n">
        <f aca="false">Y216-Y220</f>
        <v>0</v>
      </c>
      <c r="Z221" s="71" t="n">
        <f aca="false">Z216-Z220</f>
        <v>0</v>
      </c>
      <c r="AA221" s="71" t="n">
        <f aca="false">AA216-AA220</f>
        <v>0</v>
      </c>
      <c r="AB221" s="71" t="n">
        <f aca="false">AB216-AB220</f>
        <v>0</v>
      </c>
    </row>
    <row r="222" customFormat="false" ht="15" hidden="false" customHeight="false" outlineLevel="0" collapsed="false">
      <c r="A222" s="28" t="s">
        <v>930</v>
      </c>
      <c r="B222" s="58"/>
      <c r="C222" s="59" t="n">
        <f aca="false">P222</f>
        <v>7656.25000000001</v>
      </c>
      <c r="D222" s="59" t="n">
        <f aca="false">AB222</f>
        <v>0</v>
      </c>
      <c r="E222" s="71" t="n">
        <f aca="false">MAX(0,E215-E216)</f>
        <v>0</v>
      </c>
      <c r="F222" s="71" t="n">
        <f aca="false">MAX(0,F215-F216)</f>
        <v>0</v>
      </c>
      <c r="G222" s="71" t="n">
        <f aca="false">MAX(0,G215-G216)</f>
        <v>0</v>
      </c>
      <c r="H222" s="71" t="n">
        <f aca="false">MAX(0,H215-H216)</f>
        <v>0</v>
      </c>
      <c r="I222" s="71" t="n">
        <f aca="false">MAX(0,I215-I216)</f>
        <v>0</v>
      </c>
      <c r="J222" s="71" t="n">
        <f aca="false">MAX(0,J215-J216)</f>
        <v>0</v>
      </c>
      <c r="K222" s="71" t="n">
        <f aca="false">MAX(0,K215-K216)</f>
        <v>0</v>
      </c>
      <c r="L222" s="71" t="n">
        <f aca="false">MAX(0,L215-L216)</f>
        <v>0</v>
      </c>
      <c r="M222" s="71" t="n">
        <f aca="false">MAX(0,M215-M216)</f>
        <v>49000</v>
      </c>
      <c r="N222" s="71" t="n">
        <f aca="false">MAX(0,N215-N216)</f>
        <v>41343.75</v>
      </c>
      <c r="O222" s="71" t="n">
        <f aca="false">MAX(0,O215-O216)</f>
        <v>24500</v>
      </c>
      <c r="P222" s="71" t="n">
        <f aca="false">MAX(0,P215-P216)</f>
        <v>7656.25000000001</v>
      </c>
      <c r="Q222" s="71" t="n">
        <f aca="false">MAX(0,Q215-Q216)</f>
        <v>0</v>
      </c>
      <c r="R222" s="71" t="n">
        <f aca="false">MAX(0,R215-R216)</f>
        <v>0</v>
      </c>
      <c r="S222" s="71" t="n">
        <f aca="false">MAX(0,S215-S216)</f>
        <v>0</v>
      </c>
      <c r="T222" s="71" t="n">
        <f aca="false">MAX(0,T215-T216)</f>
        <v>0</v>
      </c>
      <c r="U222" s="71" t="n">
        <f aca="false">MAX(0,U215-U216)</f>
        <v>0</v>
      </c>
      <c r="V222" s="71" t="n">
        <f aca="false">MAX(0,V215-V216)</f>
        <v>0</v>
      </c>
      <c r="W222" s="71" t="n">
        <f aca="false">MAX(0,W215-W216)</f>
        <v>0</v>
      </c>
      <c r="X222" s="71" t="n">
        <f aca="false">MAX(0,X215-X216)</f>
        <v>0</v>
      </c>
      <c r="Y222" s="71" t="n">
        <f aca="false">MAX(0,Y215-Y216)</f>
        <v>0</v>
      </c>
      <c r="Z222" s="71" t="n">
        <f aca="false">MAX(0,Z215-Z216)</f>
        <v>0</v>
      </c>
      <c r="AA222" s="71" t="n">
        <f aca="false">MAX(0,AA215-AA216)</f>
        <v>0</v>
      </c>
      <c r="AB222" s="71" t="n">
        <f aca="false">MAX(0,AB215-AB216)</f>
        <v>0</v>
      </c>
    </row>
    <row r="224" customFormat="false" ht="15" hidden="false" customHeight="false" outlineLevel="0" collapsed="false">
      <c r="A224" s="22" t="s">
        <v>951</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row>
    <row r="225" customFormat="false" ht="15" hidden="false" customHeight="false" outlineLevel="0" collapsed="false">
      <c r="A225" s="28" t="s">
        <v>905</v>
      </c>
      <c r="B225" s="58" t="s">
        <v>906</v>
      </c>
      <c r="E225" s="112" t="n">
        <f aca="false">MIN(1,MAX(0,(Assumptions!E$99-Project_Register!$T$19+1)/(Project_Register!$U$19-Project_Register!$T$19+1)))</f>
        <v>0</v>
      </c>
      <c r="F225" s="112" t="n">
        <f aca="false">MIN(1,MAX(0,(Assumptions!F$99-Project_Register!$T$19+1)/(Project_Register!$U$19-Project_Register!$T$19+1)))</f>
        <v>0</v>
      </c>
      <c r="G225" s="112" t="n">
        <f aca="false">MIN(1,MAX(0,(Assumptions!G$99-Project_Register!$T$19+1)/(Project_Register!$U$19-Project_Register!$T$19+1)))</f>
        <v>0</v>
      </c>
      <c r="H225" s="112" t="n">
        <f aca="false">MIN(1,MAX(0,(Assumptions!H$99-Project_Register!$T$19+1)/(Project_Register!$U$19-Project_Register!$T$19+1)))</f>
        <v>0</v>
      </c>
      <c r="I225" s="112" t="n">
        <f aca="false">MIN(1,MAX(0,(Assumptions!I$99-Project_Register!$T$19+1)/(Project_Register!$U$19-Project_Register!$T$19+1)))</f>
        <v>0</v>
      </c>
      <c r="J225" s="112" t="n">
        <f aca="false">MIN(1,MAX(0,(Assumptions!J$99-Project_Register!$T$19+1)/(Project_Register!$U$19-Project_Register!$T$19+1)))</f>
        <v>0</v>
      </c>
      <c r="K225" s="112" t="n">
        <f aca="false">MIN(1,MAX(0,(Assumptions!K$99-Project_Register!$T$19+1)/(Project_Register!$U$19-Project_Register!$T$19+1)))</f>
        <v>0</v>
      </c>
      <c r="L225" s="112" t="n">
        <f aca="false">MIN(1,MAX(0,(Assumptions!L$99-Project_Register!$T$19+1)/(Project_Register!$U$19-Project_Register!$T$19+1)))</f>
        <v>0</v>
      </c>
      <c r="M225" s="112" t="n">
        <f aca="false">MIN(1,MAX(0,(Assumptions!M$99-Project_Register!$T$19+1)/(Project_Register!$U$19-Project_Register!$T$19+1)))</f>
        <v>0</v>
      </c>
      <c r="N225" s="112" t="n">
        <f aca="false">MIN(1,MAX(0,(Assumptions!N$99-Project_Register!$T$19+1)/(Project_Register!$U$19-Project_Register!$T$19+1)))</f>
        <v>0</v>
      </c>
      <c r="O225" s="112" t="n">
        <f aca="false">MIN(1,MAX(0,(Assumptions!O$99-Project_Register!$T$19+1)/(Project_Register!$U$19-Project_Register!$T$19+1)))</f>
        <v>0</v>
      </c>
      <c r="P225" s="112" t="n">
        <f aca="false">MIN(1,MAX(0,(Assumptions!P$99-Project_Register!$T$19+1)/(Project_Register!$U$19-Project_Register!$T$19+1)))</f>
        <v>0</v>
      </c>
      <c r="Q225" s="112" t="n">
        <f aca="false">MIN(1,MAX(0,(Assumptions!Q$99-Project_Register!$T$19+1)/(Project_Register!$U$19-Project_Register!$T$19+1)))</f>
        <v>0</v>
      </c>
      <c r="R225" s="112" t="n">
        <f aca="false">MIN(1,MAX(0,(Assumptions!R$99-Project_Register!$T$19+1)/(Project_Register!$U$19-Project_Register!$T$19+1)))</f>
        <v>0</v>
      </c>
      <c r="S225" s="112" t="n">
        <f aca="false">MIN(1,MAX(0,(Assumptions!S$99-Project_Register!$T$19+1)/(Project_Register!$U$19-Project_Register!$T$19+1)))</f>
        <v>0.166666666666667</v>
      </c>
      <c r="T225" s="112" t="n">
        <f aca="false">MIN(1,MAX(0,(Assumptions!T$99-Project_Register!$T$19+1)/(Project_Register!$U$19-Project_Register!$T$19+1)))</f>
        <v>0.333333333333333</v>
      </c>
      <c r="U225" s="112" t="n">
        <f aca="false">MIN(1,MAX(0,(Assumptions!U$99-Project_Register!$T$19+1)/(Project_Register!$U$19-Project_Register!$T$19+1)))</f>
        <v>0.5</v>
      </c>
      <c r="V225" s="112" t="n">
        <f aca="false">MIN(1,MAX(0,(Assumptions!V$99-Project_Register!$T$19+1)/(Project_Register!$U$19-Project_Register!$T$19+1)))</f>
        <v>0.666666666666667</v>
      </c>
      <c r="W225" s="112" t="n">
        <f aca="false">MIN(1,MAX(0,(Assumptions!W$99-Project_Register!$T$19+1)/(Project_Register!$U$19-Project_Register!$T$19+1)))</f>
        <v>0.833333333333333</v>
      </c>
      <c r="X225" s="112" t="n">
        <f aca="false">MIN(1,MAX(0,(Assumptions!X$99-Project_Register!$T$19+1)/(Project_Register!$U$19-Project_Register!$T$19+1)))</f>
        <v>1</v>
      </c>
      <c r="Y225" s="112" t="n">
        <f aca="false">MIN(1,MAX(0,(Assumptions!Y$99-Project_Register!$T$19+1)/(Project_Register!$U$19-Project_Register!$T$19+1)))</f>
        <v>1</v>
      </c>
      <c r="Z225" s="112" t="n">
        <f aca="false">MIN(1,MAX(0,(Assumptions!Z$99-Project_Register!$T$19+1)/(Project_Register!$U$19-Project_Register!$T$19+1)))</f>
        <v>1</v>
      </c>
      <c r="AA225" s="112" t="n">
        <f aca="false">MIN(1,MAX(0,(Assumptions!AA$99-Project_Register!$T$19+1)/(Project_Register!$U$19-Project_Register!$T$19+1)))</f>
        <v>1</v>
      </c>
      <c r="AB225" s="112" t="n">
        <f aca="false">MIN(1,MAX(0,(Assumptions!AB$99-Project_Register!$T$19+1)/(Project_Register!$U$19-Project_Register!$T$19+1)))</f>
        <v>1</v>
      </c>
    </row>
    <row r="226" customFormat="false" ht="15" hidden="false" customHeight="false" outlineLevel="0" collapsed="false">
      <c r="A226" s="28" t="s">
        <v>907</v>
      </c>
      <c r="B226" s="58" t="s">
        <v>908</v>
      </c>
      <c r="E226" s="113" t="n">
        <f aca="false">3*E225^2-2*E225^3</f>
        <v>0</v>
      </c>
      <c r="F226" s="113" t="n">
        <f aca="false">3*F225^2-2*F225^3</f>
        <v>0</v>
      </c>
      <c r="G226" s="113" t="n">
        <f aca="false">3*G225^2-2*G225^3</f>
        <v>0</v>
      </c>
      <c r="H226" s="113" t="n">
        <f aca="false">3*H225^2-2*H225^3</f>
        <v>0</v>
      </c>
      <c r="I226" s="113" t="n">
        <f aca="false">3*I225^2-2*I225^3</f>
        <v>0</v>
      </c>
      <c r="J226" s="113" t="n">
        <f aca="false">3*J225^2-2*J225^3</f>
        <v>0</v>
      </c>
      <c r="K226" s="113" t="n">
        <f aca="false">3*K225^2-2*K225^3</f>
        <v>0</v>
      </c>
      <c r="L226" s="113" t="n">
        <f aca="false">3*L225^2-2*L225^3</f>
        <v>0</v>
      </c>
      <c r="M226" s="113" t="n">
        <f aca="false">3*M225^2-2*M225^3</f>
        <v>0</v>
      </c>
      <c r="N226" s="113" t="n">
        <f aca="false">3*N225^2-2*N225^3</f>
        <v>0</v>
      </c>
      <c r="O226" s="113" t="n">
        <f aca="false">3*O225^2-2*O225^3</f>
        <v>0</v>
      </c>
      <c r="P226" s="113" t="n">
        <f aca="false">3*P225^2-2*P225^3</f>
        <v>0</v>
      </c>
      <c r="Q226" s="113" t="n">
        <f aca="false">3*Q225^2-2*Q225^3</f>
        <v>0</v>
      </c>
      <c r="R226" s="113" t="n">
        <f aca="false">3*R225^2-2*R225^3</f>
        <v>0</v>
      </c>
      <c r="S226" s="113" t="n">
        <f aca="false">3*S225^2-2*S225^3</f>
        <v>0.0740740740740741</v>
      </c>
      <c r="T226" s="113" t="n">
        <f aca="false">3*T225^2-2*T225^3</f>
        <v>0.259259259259259</v>
      </c>
      <c r="U226" s="113" t="n">
        <f aca="false">3*U225^2-2*U225^3</f>
        <v>0.5</v>
      </c>
      <c r="V226" s="113" t="n">
        <f aca="false">3*V225^2-2*V225^3</f>
        <v>0.740740740740741</v>
      </c>
      <c r="W226" s="113" t="n">
        <f aca="false">3*W225^2-2*W225^3</f>
        <v>0.925925925925926</v>
      </c>
      <c r="X226" s="113" t="n">
        <f aca="false">3*X225^2-2*X225^3</f>
        <v>1</v>
      </c>
      <c r="Y226" s="113" t="n">
        <f aca="false">3*Y225^2-2*Y225^3</f>
        <v>1</v>
      </c>
      <c r="Z226" s="113" t="n">
        <f aca="false">3*Z225^2-2*Z225^3</f>
        <v>1</v>
      </c>
      <c r="AA226" s="113" t="n">
        <f aca="false">3*AA225^2-2*AA225^3</f>
        <v>1</v>
      </c>
      <c r="AB226" s="113" t="n">
        <f aca="false">3*AB225^2-2*AB225^3</f>
        <v>1</v>
      </c>
    </row>
    <row r="227" customFormat="false" ht="15" hidden="false" customHeight="false" outlineLevel="0" collapsed="false">
      <c r="A227" s="28" t="s">
        <v>909</v>
      </c>
      <c r="B227" s="58"/>
      <c r="E227" s="112" t="n">
        <f aca="false">3*MIN(1,MAX(0,(Assumptions!E$99-Project_Register!$T$19)/(Project_Register!$U$19-Project_Register!$T$19+1)))^2-2*MIN(1,MAX(0,(Assumptions!E$99-Project_Register!$T$19)/(Project_Register!$U$19-Project_Register!$T$19+1)))^3</f>
        <v>0</v>
      </c>
      <c r="F227" s="112" t="n">
        <f aca="false">3*MIN(1,MAX(0,(Assumptions!F$99-Project_Register!$T$19)/(Project_Register!$U$19-Project_Register!$T$19+1)))^2-2*MIN(1,MAX(0,(Assumptions!F$99-Project_Register!$T$19)/(Project_Register!$U$19-Project_Register!$T$19+1)))^3</f>
        <v>0</v>
      </c>
      <c r="G227" s="112" t="n">
        <f aca="false">3*MIN(1,MAX(0,(Assumptions!G$99-Project_Register!$T$19)/(Project_Register!$U$19-Project_Register!$T$19+1)))^2-2*MIN(1,MAX(0,(Assumptions!G$99-Project_Register!$T$19)/(Project_Register!$U$19-Project_Register!$T$19+1)))^3</f>
        <v>0</v>
      </c>
      <c r="H227" s="112" t="n">
        <f aca="false">3*MIN(1,MAX(0,(Assumptions!H$99-Project_Register!$T$19)/(Project_Register!$U$19-Project_Register!$T$19+1)))^2-2*MIN(1,MAX(0,(Assumptions!H$99-Project_Register!$T$19)/(Project_Register!$U$19-Project_Register!$T$19+1)))^3</f>
        <v>0</v>
      </c>
      <c r="I227" s="112" t="n">
        <f aca="false">3*MIN(1,MAX(0,(Assumptions!I$99-Project_Register!$T$19)/(Project_Register!$U$19-Project_Register!$T$19+1)))^2-2*MIN(1,MAX(0,(Assumptions!I$99-Project_Register!$T$19)/(Project_Register!$U$19-Project_Register!$T$19+1)))^3</f>
        <v>0</v>
      </c>
      <c r="J227" s="112" t="n">
        <f aca="false">3*MIN(1,MAX(0,(Assumptions!J$99-Project_Register!$T$19)/(Project_Register!$U$19-Project_Register!$T$19+1)))^2-2*MIN(1,MAX(0,(Assumptions!J$99-Project_Register!$T$19)/(Project_Register!$U$19-Project_Register!$T$19+1)))^3</f>
        <v>0</v>
      </c>
      <c r="K227" s="112" t="n">
        <f aca="false">3*MIN(1,MAX(0,(Assumptions!K$99-Project_Register!$T$19)/(Project_Register!$U$19-Project_Register!$T$19+1)))^2-2*MIN(1,MAX(0,(Assumptions!K$99-Project_Register!$T$19)/(Project_Register!$U$19-Project_Register!$T$19+1)))^3</f>
        <v>0</v>
      </c>
      <c r="L227" s="112" t="n">
        <f aca="false">3*MIN(1,MAX(0,(Assumptions!L$99-Project_Register!$T$19)/(Project_Register!$U$19-Project_Register!$T$19+1)))^2-2*MIN(1,MAX(0,(Assumptions!L$99-Project_Register!$T$19)/(Project_Register!$U$19-Project_Register!$T$19+1)))^3</f>
        <v>0</v>
      </c>
      <c r="M227" s="112" t="n">
        <f aca="false">3*MIN(1,MAX(0,(Assumptions!M$99-Project_Register!$T$19)/(Project_Register!$U$19-Project_Register!$T$19+1)))^2-2*MIN(1,MAX(0,(Assumptions!M$99-Project_Register!$T$19)/(Project_Register!$U$19-Project_Register!$T$19+1)))^3</f>
        <v>0</v>
      </c>
      <c r="N227" s="112" t="n">
        <f aca="false">3*MIN(1,MAX(0,(Assumptions!N$99-Project_Register!$T$19)/(Project_Register!$U$19-Project_Register!$T$19+1)))^2-2*MIN(1,MAX(0,(Assumptions!N$99-Project_Register!$T$19)/(Project_Register!$U$19-Project_Register!$T$19+1)))^3</f>
        <v>0</v>
      </c>
      <c r="O227" s="112" t="n">
        <f aca="false">3*MIN(1,MAX(0,(Assumptions!O$99-Project_Register!$T$19)/(Project_Register!$U$19-Project_Register!$T$19+1)))^2-2*MIN(1,MAX(0,(Assumptions!O$99-Project_Register!$T$19)/(Project_Register!$U$19-Project_Register!$T$19+1)))^3</f>
        <v>0</v>
      </c>
      <c r="P227" s="112" t="n">
        <f aca="false">3*MIN(1,MAX(0,(Assumptions!P$99-Project_Register!$T$19)/(Project_Register!$U$19-Project_Register!$T$19+1)))^2-2*MIN(1,MAX(0,(Assumptions!P$99-Project_Register!$T$19)/(Project_Register!$U$19-Project_Register!$T$19+1)))^3</f>
        <v>0</v>
      </c>
      <c r="Q227" s="112" t="n">
        <f aca="false">3*MIN(1,MAX(0,(Assumptions!Q$99-Project_Register!$T$19)/(Project_Register!$U$19-Project_Register!$T$19+1)))^2-2*MIN(1,MAX(0,(Assumptions!Q$99-Project_Register!$T$19)/(Project_Register!$U$19-Project_Register!$T$19+1)))^3</f>
        <v>0</v>
      </c>
      <c r="R227" s="112" t="n">
        <f aca="false">3*MIN(1,MAX(0,(Assumptions!R$99-Project_Register!$T$19)/(Project_Register!$U$19-Project_Register!$T$19+1)))^2-2*MIN(1,MAX(0,(Assumptions!R$99-Project_Register!$T$19)/(Project_Register!$U$19-Project_Register!$T$19+1)))^3</f>
        <v>0</v>
      </c>
      <c r="S227" s="112" t="n">
        <f aca="false">3*MIN(1,MAX(0,(Assumptions!S$99-Project_Register!$T$19)/(Project_Register!$U$19-Project_Register!$T$19+1)))^2-2*MIN(1,MAX(0,(Assumptions!S$99-Project_Register!$T$19)/(Project_Register!$U$19-Project_Register!$T$19+1)))^3</f>
        <v>0</v>
      </c>
      <c r="T227" s="112" t="n">
        <f aca="false">3*MIN(1,MAX(0,(Assumptions!T$99-Project_Register!$T$19)/(Project_Register!$U$19-Project_Register!$T$19+1)))^2-2*MIN(1,MAX(0,(Assumptions!T$99-Project_Register!$T$19)/(Project_Register!$U$19-Project_Register!$T$19+1)))^3</f>
        <v>0.0740740740740741</v>
      </c>
      <c r="U227" s="112" t="n">
        <f aca="false">3*MIN(1,MAX(0,(Assumptions!U$99-Project_Register!$T$19)/(Project_Register!$U$19-Project_Register!$T$19+1)))^2-2*MIN(1,MAX(0,(Assumptions!U$99-Project_Register!$T$19)/(Project_Register!$U$19-Project_Register!$T$19+1)))^3</f>
        <v>0.259259259259259</v>
      </c>
      <c r="V227" s="112" t="n">
        <f aca="false">3*MIN(1,MAX(0,(Assumptions!V$99-Project_Register!$T$19)/(Project_Register!$U$19-Project_Register!$T$19+1)))^2-2*MIN(1,MAX(0,(Assumptions!V$99-Project_Register!$T$19)/(Project_Register!$U$19-Project_Register!$T$19+1)))^3</f>
        <v>0.5</v>
      </c>
      <c r="W227" s="112" t="n">
        <f aca="false">3*MIN(1,MAX(0,(Assumptions!W$99-Project_Register!$T$19)/(Project_Register!$U$19-Project_Register!$T$19+1)))^2-2*MIN(1,MAX(0,(Assumptions!W$99-Project_Register!$T$19)/(Project_Register!$U$19-Project_Register!$T$19+1)))^3</f>
        <v>0.740740740740741</v>
      </c>
      <c r="X227" s="112" t="n">
        <f aca="false">3*MIN(1,MAX(0,(Assumptions!X$99-Project_Register!$T$19)/(Project_Register!$U$19-Project_Register!$T$19+1)))^2-2*MIN(1,MAX(0,(Assumptions!X$99-Project_Register!$T$19)/(Project_Register!$U$19-Project_Register!$T$19+1)))^3</f>
        <v>0.925925925925926</v>
      </c>
      <c r="Y227" s="112" t="n">
        <f aca="false">3*MIN(1,MAX(0,(Assumptions!Y$99-Project_Register!$T$19)/(Project_Register!$U$19-Project_Register!$T$19+1)))^2-2*MIN(1,MAX(0,(Assumptions!Y$99-Project_Register!$T$19)/(Project_Register!$U$19-Project_Register!$T$19+1)))^3</f>
        <v>1</v>
      </c>
      <c r="Z227" s="112" t="n">
        <f aca="false">3*MIN(1,MAX(0,(Assumptions!Z$99-Project_Register!$T$19)/(Project_Register!$U$19-Project_Register!$T$19+1)))^2-2*MIN(1,MAX(0,(Assumptions!Z$99-Project_Register!$T$19)/(Project_Register!$U$19-Project_Register!$T$19+1)))^3</f>
        <v>1</v>
      </c>
      <c r="AA227" s="112" t="n">
        <f aca="false">3*MIN(1,MAX(0,(Assumptions!AA$99-Project_Register!$T$19)/(Project_Register!$U$19-Project_Register!$T$19+1)))^2-2*MIN(1,MAX(0,(Assumptions!AA$99-Project_Register!$T$19)/(Project_Register!$U$19-Project_Register!$T$19+1)))^3</f>
        <v>1</v>
      </c>
      <c r="AB227" s="112" t="n">
        <f aca="false">3*MIN(1,MAX(0,(Assumptions!AB$99-Project_Register!$T$19)/(Project_Register!$U$19-Project_Register!$T$19+1)))^2-2*MIN(1,MAX(0,(Assumptions!AB$99-Project_Register!$T$19)/(Project_Register!$U$19-Project_Register!$T$19+1)))^3</f>
        <v>1</v>
      </c>
    </row>
    <row r="228" customFormat="false" ht="15" hidden="false" customHeight="false" outlineLevel="0" collapsed="false">
      <c r="A228" s="28" t="s">
        <v>802</v>
      </c>
      <c r="B228" s="58" t="s">
        <v>910</v>
      </c>
      <c r="C228" s="66" t="n">
        <f aca="false">SUM(E228:P228)</f>
        <v>0</v>
      </c>
      <c r="D228" s="66" t="n">
        <f aca="false">SUM(Q228:AB228)</f>
        <v>385</v>
      </c>
      <c r="E228" s="67" t="n">
        <f aca="false">IF(E$5="A",0,IF((Project_Register!$AA$19-Project_Register!$X$19)&lt;=0,0,IF(1-Project_Register!$AC$19&lt;=0.000001,IF(Assumptions!E$99=Assumptions!$C$10+1,(Project_Register!$AA$19-Project_Register!$X$19),0),(Project_Register!$AA$19-Project_Register!$X$19)*(E226-E227)/(1-Project_Register!$AC$19))))</f>
        <v>0</v>
      </c>
      <c r="F228" s="67" t="n">
        <f aca="false">IF(F$5="A",0,IF((Project_Register!$AA$19-Project_Register!$X$19)&lt;=0,0,IF(1-Project_Register!$AC$19&lt;=0.000001,IF(Assumptions!F$99=Assumptions!$C$10+1,(Project_Register!$AA$19-Project_Register!$X$19),0),(Project_Register!$AA$19-Project_Register!$X$19)*(F226-F227)/(1-Project_Register!$AC$19))))</f>
        <v>0</v>
      </c>
      <c r="G228" s="67" t="n">
        <f aca="false">IF(G$5="A",0,IF((Project_Register!$AA$19-Project_Register!$X$19)&lt;=0,0,IF(1-Project_Register!$AC$19&lt;=0.000001,IF(Assumptions!G$99=Assumptions!$C$10+1,(Project_Register!$AA$19-Project_Register!$X$19),0),(Project_Register!$AA$19-Project_Register!$X$19)*(G226-G227)/(1-Project_Register!$AC$19))))</f>
        <v>0</v>
      </c>
      <c r="H228" s="67" t="n">
        <f aca="false">IF(H$5="A",0,IF((Project_Register!$AA$19-Project_Register!$X$19)&lt;=0,0,IF(1-Project_Register!$AC$19&lt;=0.000001,IF(Assumptions!H$99=Assumptions!$C$10+1,(Project_Register!$AA$19-Project_Register!$X$19),0),(Project_Register!$AA$19-Project_Register!$X$19)*(H226-H227)/(1-Project_Register!$AC$19))))</f>
        <v>0</v>
      </c>
      <c r="I228" s="67" t="n">
        <f aca="false">IF(I$5="A",0,IF((Project_Register!$AA$19-Project_Register!$X$19)&lt;=0,0,IF(1-Project_Register!$AC$19&lt;=0.000001,IF(Assumptions!I$99=Assumptions!$C$10+1,(Project_Register!$AA$19-Project_Register!$X$19),0),(Project_Register!$AA$19-Project_Register!$X$19)*(I226-I227)/(1-Project_Register!$AC$19))))</f>
        <v>0</v>
      </c>
      <c r="J228" s="67" t="n">
        <f aca="false">IF(J$5="A",0,IF((Project_Register!$AA$19-Project_Register!$X$19)&lt;=0,0,IF(1-Project_Register!$AC$19&lt;=0.000001,IF(Assumptions!J$99=Assumptions!$C$10+1,(Project_Register!$AA$19-Project_Register!$X$19),0),(Project_Register!$AA$19-Project_Register!$X$19)*(J226-J227)/(1-Project_Register!$AC$19))))</f>
        <v>0</v>
      </c>
      <c r="K228" s="67" t="n">
        <f aca="false">IF(K$5="A",0,IF((Project_Register!$AA$19-Project_Register!$X$19)&lt;=0,0,IF(1-Project_Register!$AC$19&lt;=0.000001,IF(Assumptions!K$99=Assumptions!$C$10+1,(Project_Register!$AA$19-Project_Register!$X$19),0),(Project_Register!$AA$19-Project_Register!$X$19)*(K226-K227)/(1-Project_Register!$AC$19))))</f>
        <v>0</v>
      </c>
      <c r="L228" s="67" t="n">
        <f aca="false">IF(L$5="A",0,IF((Project_Register!$AA$19-Project_Register!$X$19)&lt;=0,0,IF(1-Project_Register!$AC$19&lt;=0.000001,IF(Assumptions!L$99=Assumptions!$C$10+1,(Project_Register!$AA$19-Project_Register!$X$19),0),(Project_Register!$AA$19-Project_Register!$X$19)*(L226-L227)/(1-Project_Register!$AC$19))))</f>
        <v>0</v>
      </c>
      <c r="M228" s="67" t="n">
        <f aca="false">IF(M$5="A",0,IF((Project_Register!$AA$19-Project_Register!$X$19)&lt;=0,0,IF(1-Project_Register!$AC$19&lt;=0.000001,IF(Assumptions!M$99=Assumptions!$C$10+1,(Project_Register!$AA$19-Project_Register!$X$19),0),(Project_Register!$AA$19-Project_Register!$X$19)*(M226-M227)/(1-Project_Register!$AC$19))))</f>
        <v>0</v>
      </c>
      <c r="N228" s="67" t="n">
        <f aca="false">IF(N$5="A",0,IF((Project_Register!$AA$19-Project_Register!$X$19)&lt;=0,0,IF(1-Project_Register!$AC$19&lt;=0.000001,IF(Assumptions!N$99=Assumptions!$C$10+1,(Project_Register!$AA$19-Project_Register!$X$19),0),(Project_Register!$AA$19-Project_Register!$X$19)*(N226-N227)/(1-Project_Register!$AC$19))))</f>
        <v>0</v>
      </c>
      <c r="O228" s="67" t="n">
        <f aca="false">IF(O$5="A",0,IF((Project_Register!$AA$19-Project_Register!$X$19)&lt;=0,0,IF(1-Project_Register!$AC$19&lt;=0.000001,IF(Assumptions!O$99=Assumptions!$C$10+1,(Project_Register!$AA$19-Project_Register!$X$19),0),(Project_Register!$AA$19-Project_Register!$X$19)*(O226-O227)/(1-Project_Register!$AC$19))))</f>
        <v>0</v>
      </c>
      <c r="P228" s="67" t="n">
        <f aca="false">IF(P$5="A",0,IF((Project_Register!$AA$19-Project_Register!$X$19)&lt;=0,0,IF(1-Project_Register!$AC$19&lt;=0.000001,IF(Assumptions!P$99=Assumptions!$C$10+1,(Project_Register!$AA$19-Project_Register!$X$19),0),(Project_Register!$AA$19-Project_Register!$X$19)*(P226-P227)/(1-Project_Register!$AC$19))))</f>
        <v>0</v>
      </c>
      <c r="Q228" s="67" t="n">
        <f aca="false">IF(Q$5="A",0,IF((Project_Register!$AA$19-Project_Register!$X$19)&lt;=0,0,IF(1-Project_Register!$AC$19&lt;=0.000001,IF(Assumptions!Q$99=Assumptions!$C$10+1,(Project_Register!$AA$19-Project_Register!$X$19),0),(Project_Register!$AA$19-Project_Register!$X$19)*(Q226-Q227)/(1-Project_Register!$AC$19))))</f>
        <v>0</v>
      </c>
      <c r="R228" s="67" t="n">
        <f aca="false">IF(R$5="A",0,IF((Project_Register!$AA$19-Project_Register!$X$19)&lt;=0,0,IF(1-Project_Register!$AC$19&lt;=0.000001,IF(Assumptions!R$99=Assumptions!$C$10+1,(Project_Register!$AA$19-Project_Register!$X$19),0),(Project_Register!$AA$19-Project_Register!$X$19)*(R226-R227)/(1-Project_Register!$AC$19))))</f>
        <v>0</v>
      </c>
      <c r="S228" s="67" t="n">
        <f aca="false">IF(S$5="A",0,IF((Project_Register!$AA$19-Project_Register!$X$19)&lt;=0,0,IF(1-Project_Register!$AC$19&lt;=0.000001,IF(Assumptions!S$99=Assumptions!$C$10+1,(Project_Register!$AA$19-Project_Register!$X$19),0),(Project_Register!$AA$19-Project_Register!$X$19)*(S226-S227)/(1-Project_Register!$AC$19))))</f>
        <v>28.5185185185185</v>
      </c>
      <c r="T228" s="67" t="n">
        <f aca="false">IF(T$5="A",0,IF((Project_Register!$AA$19-Project_Register!$X$19)&lt;=0,0,IF(1-Project_Register!$AC$19&lt;=0.000001,IF(Assumptions!T$99=Assumptions!$C$10+1,(Project_Register!$AA$19-Project_Register!$X$19),0),(Project_Register!$AA$19-Project_Register!$X$19)*(T226-T227)/(1-Project_Register!$AC$19))))</f>
        <v>71.2962962962963</v>
      </c>
      <c r="U228" s="67" t="n">
        <f aca="false">IF(U$5="A",0,IF((Project_Register!$AA$19-Project_Register!$X$19)&lt;=0,0,IF(1-Project_Register!$AC$19&lt;=0.000001,IF(Assumptions!U$99=Assumptions!$C$10+1,(Project_Register!$AA$19-Project_Register!$X$19),0),(Project_Register!$AA$19-Project_Register!$X$19)*(U226-U227)/(1-Project_Register!$AC$19))))</f>
        <v>92.6851851851852</v>
      </c>
      <c r="V228" s="67" t="n">
        <f aca="false">IF(V$5="A",0,IF((Project_Register!$AA$19-Project_Register!$X$19)&lt;=0,0,IF(1-Project_Register!$AC$19&lt;=0.000001,IF(Assumptions!V$99=Assumptions!$C$10+1,(Project_Register!$AA$19-Project_Register!$X$19),0),(Project_Register!$AA$19-Project_Register!$X$19)*(V226-V227)/(1-Project_Register!$AC$19))))</f>
        <v>92.6851851851852</v>
      </c>
      <c r="W228" s="67" t="n">
        <f aca="false">IF(W$5="A",0,IF((Project_Register!$AA$19-Project_Register!$X$19)&lt;=0,0,IF(1-Project_Register!$AC$19&lt;=0.000001,IF(Assumptions!W$99=Assumptions!$C$10+1,(Project_Register!$AA$19-Project_Register!$X$19),0),(Project_Register!$AA$19-Project_Register!$X$19)*(W226-W227)/(1-Project_Register!$AC$19))))</f>
        <v>71.2962962962962</v>
      </c>
      <c r="X228" s="67" t="n">
        <f aca="false">IF(X$5="A",0,IF((Project_Register!$AA$19-Project_Register!$X$19)&lt;=0,0,IF(1-Project_Register!$AC$19&lt;=0.000001,IF(Assumptions!X$99=Assumptions!$C$10+1,(Project_Register!$AA$19-Project_Register!$X$19),0),(Project_Register!$AA$19-Project_Register!$X$19)*(X226-X227)/(1-Project_Register!$AC$19))))</f>
        <v>28.5185185185186</v>
      </c>
      <c r="Y228" s="67" t="n">
        <f aca="false">IF(Y$5="A",0,IF((Project_Register!$AA$19-Project_Register!$X$19)&lt;=0,0,IF(1-Project_Register!$AC$19&lt;=0.000001,IF(Assumptions!Y$99=Assumptions!$C$10+1,(Project_Register!$AA$19-Project_Register!$X$19),0),(Project_Register!$AA$19-Project_Register!$X$19)*(Y226-Y227)/(1-Project_Register!$AC$19))))</f>
        <v>0</v>
      </c>
      <c r="Z228" s="67" t="n">
        <f aca="false">IF(Z$5="A",0,IF((Project_Register!$AA$19-Project_Register!$X$19)&lt;=0,0,IF(1-Project_Register!$AC$19&lt;=0.000001,IF(Assumptions!Z$99=Assumptions!$C$10+1,(Project_Register!$AA$19-Project_Register!$X$19),0),(Project_Register!$AA$19-Project_Register!$X$19)*(Z226-Z227)/(1-Project_Register!$AC$19))))</f>
        <v>0</v>
      </c>
      <c r="AA228" s="67" t="n">
        <f aca="false">IF(AA$5="A",0,IF((Project_Register!$AA$19-Project_Register!$X$19)&lt;=0,0,IF(1-Project_Register!$AC$19&lt;=0.000001,IF(Assumptions!AA$99=Assumptions!$C$10+1,(Project_Register!$AA$19-Project_Register!$X$19),0),(Project_Register!$AA$19-Project_Register!$X$19)*(AA226-AA227)/(1-Project_Register!$AC$19))))</f>
        <v>0</v>
      </c>
      <c r="AB228" s="67" t="n">
        <f aca="false">IF(AB$5="A",0,IF((Project_Register!$AA$19-Project_Register!$X$19)&lt;=0,0,IF(1-Project_Register!$AC$19&lt;=0.000001,IF(Assumptions!AB$99=Assumptions!$C$10+1,(Project_Register!$AA$19-Project_Register!$X$19),0),(Project_Register!$AA$19-Project_Register!$X$19)*(AB226-AB227)/(1-Project_Register!$AC$19))))</f>
        <v>0</v>
      </c>
    </row>
    <row r="229" customFormat="false" ht="15" hidden="false" customHeight="false" outlineLevel="0" collapsed="false">
      <c r="A229" s="28" t="s">
        <v>911</v>
      </c>
      <c r="B229" s="58" t="s">
        <v>912</v>
      </c>
      <c r="C229" s="66" t="n">
        <f aca="false">P229</f>
        <v>0</v>
      </c>
      <c r="D229" s="66" t="n">
        <f aca="false">AB229</f>
        <v>385</v>
      </c>
      <c r="E229" s="67" t="n">
        <f aca="false">Project_Register!$P$19+E228</f>
        <v>0</v>
      </c>
      <c r="F229" s="72" t="n">
        <f aca="false">E229+F228</f>
        <v>0</v>
      </c>
      <c r="G229" s="72" t="n">
        <f aca="false">F229+G228</f>
        <v>0</v>
      </c>
      <c r="H229" s="72" t="n">
        <f aca="false">G229+H228</f>
        <v>0</v>
      </c>
      <c r="I229" s="72" t="n">
        <f aca="false">H229+I228</f>
        <v>0</v>
      </c>
      <c r="J229" s="72" t="n">
        <f aca="false">I229+J228</f>
        <v>0</v>
      </c>
      <c r="K229" s="72" t="n">
        <f aca="false">J229+K228</f>
        <v>0</v>
      </c>
      <c r="L229" s="72" t="n">
        <f aca="false">K229+L228</f>
        <v>0</v>
      </c>
      <c r="M229" s="72" t="n">
        <f aca="false">L229+M228</f>
        <v>0</v>
      </c>
      <c r="N229" s="72" t="n">
        <f aca="false">M229+N228</f>
        <v>0</v>
      </c>
      <c r="O229" s="72" t="n">
        <f aca="false">N229+O228</f>
        <v>0</v>
      </c>
      <c r="P229" s="72" t="n">
        <f aca="false">O229+P228</f>
        <v>0</v>
      </c>
      <c r="Q229" s="72" t="n">
        <f aca="false">P229+Q228</f>
        <v>0</v>
      </c>
      <c r="R229" s="72" t="n">
        <f aca="false">Q229+R228</f>
        <v>0</v>
      </c>
      <c r="S229" s="72" t="n">
        <f aca="false">R229+S228</f>
        <v>28.5185185185185</v>
      </c>
      <c r="T229" s="72" t="n">
        <f aca="false">S229+T228</f>
        <v>99.8148148148148</v>
      </c>
      <c r="U229" s="72" t="n">
        <f aca="false">T229+U228</f>
        <v>192.5</v>
      </c>
      <c r="V229" s="72" t="n">
        <f aca="false">U229+V228</f>
        <v>285.185185185185</v>
      </c>
      <c r="W229" s="72" t="n">
        <f aca="false">V229+W228</f>
        <v>356.481481481481</v>
      </c>
      <c r="X229" s="72" t="n">
        <f aca="false">W229+X228</f>
        <v>385</v>
      </c>
      <c r="Y229" s="72" t="n">
        <f aca="false">X229+Y228</f>
        <v>385</v>
      </c>
      <c r="Z229" s="72" t="n">
        <f aca="false">Y229+Z228</f>
        <v>385</v>
      </c>
      <c r="AA229" s="72" t="n">
        <f aca="false">Z229+AA228</f>
        <v>385</v>
      </c>
      <c r="AB229" s="72" t="n">
        <f aca="false">AA229+AB228</f>
        <v>385</v>
      </c>
    </row>
    <row r="230" customFormat="false" ht="15" hidden="false" customHeight="false" outlineLevel="0" collapsed="false">
      <c r="A230" s="28" t="s">
        <v>913</v>
      </c>
      <c r="B230" s="58" t="s">
        <v>914</v>
      </c>
      <c r="C230" s="66" t="n">
        <f aca="false">P230</f>
        <v>385</v>
      </c>
      <c r="D230" s="66" t="n">
        <f aca="false">AB230</f>
        <v>385</v>
      </c>
      <c r="E230" s="67" t="n">
        <f aca="false">IF(E$5="A",Project_Register!$AA$19,Project_Register!$AA$19)</f>
        <v>385</v>
      </c>
      <c r="F230" s="67" t="n">
        <f aca="false">IF(F$5="A",Project_Register!$AA$19,Project_Register!$AA$19)</f>
        <v>385</v>
      </c>
      <c r="G230" s="67" t="n">
        <f aca="false">IF(G$5="A",Project_Register!$AA$19,Project_Register!$AA$19)</f>
        <v>385</v>
      </c>
      <c r="H230" s="67" t="n">
        <f aca="false">IF(H$5="A",Project_Register!$AA$19,Project_Register!$AA$19)</f>
        <v>385</v>
      </c>
      <c r="I230" s="67" t="n">
        <f aca="false">IF(I$5="A",Project_Register!$AA$19,Project_Register!$AA$19)</f>
        <v>385</v>
      </c>
      <c r="J230" s="67" t="n">
        <f aca="false">IF(J$5="A",Project_Register!$AA$19,Project_Register!$AA$19)</f>
        <v>385</v>
      </c>
      <c r="K230" s="67" t="n">
        <f aca="false">IF(K$5="A",Project_Register!$AA$19,Project_Register!$AA$19)</f>
        <v>385</v>
      </c>
      <c r="L230" s="67" t="n">
        <f aca="false">IF(L$5="A",Project_Register!$AA$19,Project_Register!$AA$19)</f>
        <v>385</v>
      </c>
      <c r="M230" s="67" t="n">
        <f aca="false">IF(M$5="A",Project_Register!$AA$19,Project_Register!$AA$19)</f>
        <v>385</v>
      </c>
      <c r="N230" s="67" t="n">
        <f aca="false">IF(N$5="A",Project_Register!$AA$19,Project_Register!$AA$19)</f>
        <v>385</v>
      </c>
      <c r="O230" s="67" t="n">
        <f aca="false">IF(O$5="A",Project_Register!$AA$19,Project_Register!$AA$19)</f>
        <v>385</v>
      </c>
      <c r="P230" s="67" t="n">
        <f aca="false">IF(P$5="A",Project_Register!$AA$19,Project_Register!$AA$19)</f>
        <v>385</v>
      </c>
      <c r="Q230" s="67" t="n">
        <f aca="false">IF(Q$5="A",Project_Register!$AA$19,Project_Register!$AA$19)</f>
        <v>385</v>
      </c>
      <c r="R230" s="67" t="n">
        <f aca="false">IF(R$5="A",Project_Register!$AA$19,Project_Register!$AA$19)</f>
        <v>385</v>
      </c>
      <c r="S230" s="67" t="n">
        <f aca="false">IF(S$5="A",Project_Register!$AA$19,Project_Register!$AA$19)</f>
        <v>385</v>
      </c>
      <c r="T230" s="67" t="n">
        <f aca="false">IF(T$5="A",Project_Register!$AA$19,Project_Register!$AA$19)</f>
        <v>385</v>
      </c>
      <c r="U230" s="67" t="n">
        <f aca="false">IF(U$5="A",Project_Register!$AA$19,Project_Register!$AA$19)</f>
        <v>385</v>
      </c>
      <c r="V230" s="67" t="n">
        <f aca="false">IF(V$5="A",Project_Register!$AA$19,Project_Register!$AA$19)</f>
        <v>385</v>
      </c>
      <c r="W230" s="67" t="n">
        <f aca="false">IF(W$5="A",Project_Register!$AA$19,Project_Register!$AA$19)</f>
        <v>385</v>
      </c>
      <c r="X230" s="67" t="n">
        <f aca="false">IF(X$5="A",Project_Register!$AA$19,Project_Register!$AA$19)</f>
        <v>385</v>
      </c>
      <c r="Y230" s="67" t="n">
        <f aca="false">IF(Y$5="A",Project_Register!$AA$19,Project_Register!$AA$19)</f>
        <v>385</v>
      </c>
      <c r="Z230" s="67" t="n">
        <f aca="false">IF(Z$5="A",Project_Register!$AA$19,Project_Register!$AA$19)</f>
        <v>385</v>
      </c>
      <c r="AA230" s="67" t="n">
        <f aca="false">IF(AA$5="A",Project_Register!$AA$19,Project_Register!$AA$19)</f>
        <v>385</v>
      </c>
      <c r="AB230" s="67" t="n">
        <f aca="false">IF(AB$5="A",Project_Register!$AA$19,Project_Register!$AA$19)</f>
        <v>385</v>
      </c>
    </row>
    <row r="231" customFormat="false" ht="15" hidden="false" customHeight="false" outlineLevel="0" collapsed="false">
      <c r="A231" s="28" t="s">
        <v>915</v>
      </c>
      <c r="B231" s="58" t="s">
        <v>916</v>
      </c>
      <c r="C231" s="61" t="n">
        <f aca="false">P231</f>
        <v>0</v>
      </c>
      <c r="D231" s="61" t="n">
        <f aca="false">AB231</f>
        <v>1</v>
      </c>
      <c r="E231" s="62" t="n">
        <f aca="false">IF(E230&lt;=0,0,MIN(1,E229/E230))</f>
        <v>0</v>
      </c>
      <c r="F231" s="62" t="n">
        <f aca="false">IF(F230&lt;=0,0,MIN(1,F229/F230))</f>
        <v>0</v>
      </c>
      <c r="G231" s="62" t="n">
        <f aca="false">IF(G230&lt;=0,0,MIN(1,G229/G230))</f>
        <v>0</v>
      </c>
      <c r="H231" s="62" t="n">
        <f aca="false">IF(H230&lt;=0,0,MIN(1,H229/H230))</f>
        <v>0</v>
      </c>
      <c r="I231" s="62" t="n">
        <f aca="false">IF(I230&lt;=0,0,MIN(1,I229/I230))</f>
        <v>0</v>
      </c>
      <c r="J231" s="62" t="n">
        <f aca="false">IF(J230&lt;=0,0,MIN(1,J229/J230))</f>
        <v>0</v>
      </c>
      <c r="K231" s="62" t="n">
        <f aca="false">IF(K230&lt;=0,0,MIN(1,K229/K230))</f>
        <v>0</v>
      </c>
      <c r="L231" s="62" t="n">
        <f aca="false">IF(L230&lt;=0,0,MIN(1,L229/L230))</f>
        <v>0</v>
      </c>
      <c r="M231" s="62" t="n">
        <f aca="false">IF(M230&lt;=0,0,MIN(1,M229/M230))</f>
        <v>0</v>
      </c>
      <c r="N231" s="62" t="n">
        <f aca="false">IF(N230&lt;=0,0,MIN(1,N229/N230))</f>
        <v>0</v>
      </c>
      <c r="O231" s="62" t="n">
        <f aca="false">IF(O230&lt;=0,0,MIN(1,O229/O230))</f>
        <v>0</v>
      </c>
      <c r="P231" s="62" t="n">
        <f aca="false">IF(P230&lt;=0,0,MIN(1,P229/P230))</f>
        <v>0</v>
      </c>
      <c r="Q231" s="62" t="n">
        <f aca="false">IF(Q230&lt;=0,0,MIN(1,Q229/Q230))</f>
        <v>0</v>
      </c>
      <c r="R231" s="62" t="n">
        <f aca="false">IF(R230&lt;=0,0,MIN(1,R229/R230))</f>
        <v>0</v>
      </c>
      <c r="S231" s="62" t="n">
        <f aca="false">IF(S230&lt;=0,0,MIN(1,S229/S230))</f>
        <v>0.0740740740740741</v>
      </c>
      <c r="T231" s="62" t="n">
        <f aca="false">IF(T230&lt;=0,0,MIN(1,T229/T230))</f>
        <v>0.259259259259259</v>
      </c>
      <c r="U231" s="62" t="n">
        <f aca="false">IF(U230&lt;=0,0,MIN(1,U229/U230))</f>
        <v>0.5</v>
      </c>
      <c r="V231" s="62" t="n">
        <f aca="false">IF(V230&lt;=0,0,MIN(1,V229/V230))</f>
        <v>0.740740740740741</v>
      </c>
      <c r="W231" s="62" t="n">
        <f aca="false">IF(W230&lt;=0,0,MIN(1,W229/W230))</f>
        <v>0.925925925925926</v>
      </c>
      <c r="X231" s="62" t="n">
        <f aca="false">IF(X230&lt;=0,0,MIN(1,X229/X230))</f>
        <v>1</v>
      </c>
      <c r="Y231" s="62" t="n">
        <f aca="false">IF(Y230&lt;=0,0,MIN(1,Y229/Y230))</f>
        <v>1</v>
      </c>
      <c r="Z231" s="62" t="n">
        <f aca="false">IF(Z230&lt;=0,0,MIN(1,Z229/Z230))</f>
        <v>1</v>
      </c>
      <c r="AA231" s="62" t="n">
        <f aca="false">IF(AA230&lt;=0,0,MIN(1,AA229/AA230))</f>
        <v>1</v>
      </c>
      <c r="AB231" s="62" t="n">
        <f aca="false">IF(AB230&lt;=0,0,MIN(1,AB229/AB230))</f>
        <v>1</v>
      </c>
    </row>
    <row r="232" customFormat="false" ht="15" hidden="false" customHeight="false" outlineLevel="0" collapsed="false">
      <c r="A232" s="28" t="s">
        <v>917</v>
      </c>
      <c r="B232" s="58" t="s">
        <v>918</v>
      </c>
      <c r="C232" s="59" t="n">
        <f aca="false">P232</f>
        <v>38500</v>
      </c>
      <c r="D232" s="59" t="n">
        <f aca="false">AB232</f>
        <v>38500</v>
      </c>
      <c r="E232" s="60" t="n">
        <f aca="false">IF(E$5="A",0,Project_Register!$W$19)</f>
        <v>0</v>
      </c>
      <c r="F232" s="60" t="n">
        <f aca="false">IF(F$5="A",0,Project_Register!$W$19)</f>
        <v>0</v>
      </c>
      <c r="G232" s="60" t="n">
        <f aca="false">IF(G$5="A",0,Project_Register!$W$19)</f>
        <v>0</v>
      </c>
      <c r="H232" s="60" t="n">
        <f aca="false">IF(H$5="A",0,Project_Register!$W$19)</f>
        <v>0</v>
      </c>
      <c r="I232" s="60" t="n">
        <f aca="false">IF(I$5="A",0,Project_Register!$W$19)</f>
        <v>0</v>
      </c>
      <c r="J232" s="60" t="n">
        <f aca="false">IF(J$5="A",0,Project_Register!$W$19)</f>
        <v>0</v>
      </c>
      <c r="K232" s="60" t="n">
        <f aca="false">IF(K$5="A",0,Project_Register!$W$19)</f>
        <v>0</v>
      </c>
      <c r="L232" s="60" t="n">
        <f aca="false">IF(L$5="A",0,Project_Register!$W$19)</f>
        <v>0</v>
      </c>
      <c r="M232" s="60" t="n">
        <f aca="false">IF(M$5="A",0,Project_Register!$W$19)</f>
        <v>38500</v>
      </c>
      <c r="N232" s="60" t="n">
        <f aca="false">IF(N$5="A",0,Project_Register!$W$19)</f>
        <v>38500</v>
      </c>
      <c r="O232" s="60" t="n">
        <f aca="false">IF(O$5="A",0,Project_Register!$W$19)</f>
        <v>38500</v>
      </c>
      <c r="P232" s="60" t="n">
        <f aca="false">IF(P$5="A",0,Project_Register!$W$19)</f>
        <v>38500</v>
      </c>
      <c r="Q232" s="60" t="n">
        <f aca="false">IF(Q$5="A",0,Project_Register!$W$19)</f>
        <v>38500</v>
      </c>
      <c r="R232" s="60" t="n">
        <f aca="false">IF(R$5="A",0,Project_Register!$W$19)</f>
        <v>38500</v>
      </c>
      <c r="S232" s="60" t="n">
        <f aca="false">IF(S$5="A",0,Project_Register!$W$19)</f>
        <v>38500</v>
      </c>
      <c r="T232" s="60" t="n">
        <f aca="false">IF(T$5="A",0,Project_Register!$W$19)</f>
        <v>38500</v>
      </c>
      <c r="U232" s="60" t="n">
        <f aca="false">IF(U$5="A",0,Project_Register!$W$19)</f>
        <v>38500</v>
      </c>
      <c r="V232" s="60" t="n">
        <f aca="false">IF(V$5="A",0,Project_Register!$W$19)</f>
        <v>38500</v>
      </c>
      <c r="W232" s="60" t="n">
        <f aca="false">IF(W$5="A",0,Project_Register!$W$19)</f>
        <v>38500</v>
      </c>
      <c r="X232" s="60" t="n">
        <f aca="false">IF(X$5="A",0,Project_Register!$W$19)</f>
        <v>38500</v>
      </c>
      <c r="Y232" s="60" t="n">
        <f aca="false">IF(Y$5="A",0,Project_Register!$W$19)</f>
        <v>38500</v>
      </c>
      <c r="Z232" s="60" t="n">
        <f aca="false">IF(Z$5="A",0,Project_Register!$W$19)</f>
        <v>38500</v>
      </c>
      <c r="AA232" s="60" t="n">
        <f aca="false">IF(AA$5="A",0,Project_Register!$W$19)</f>
        <v>38500</v>
      </c>
      <c r="AB232" s="60" t="n">
        <f aca="false">IF(AB$5="A",0,Project_Register!$W$19)</f>
        <v>38500</v>
      </c>
    </row>
    <row r="233" customFormat="false" ht="15" hidden="false" customHeight="false" outlineLevel="0" collapsed="false">
      <c r="A233" s="28" t="s">
        <v>919</v>
      </c>
      <c r="B233" s="58" t="s">
        <v>920</v>
      </c>
      <c r="C233" s="59" t="n">
        <f aca="false">P233</f>
        <v>0</v>
      </c>
      <c r="D233" s="59" t="n">
        <f aca="false">AB233</f>
        <v>38500</v>
      </c>
      <c r="E233" s="60" t="n">
        <f aca="false">IF(E$5="A",Project_Register!$Q$19+0,E231*E232)</f>
        <v>0</v>
      </c>
      <c r="F233" s="71" t="n">
        <f aca="false">IF(F$5="A",E233+0,F231*F232)</f>
        <v>0</v>
      </c>
      <c r="G233" s="71" t="n">
        <f aca="false">IF(G$5="A",F233+0,G231*G232)</f>
        <v>0</v>
      </c>
      <c r="H233" s="71" t="n">
        <f aca="false">IF(H$5="A",G233+0,H231*H232)</f>
        <v>0</v>
      </c>
      <c r="I233" s="71" t="n">
        <f aca="false">IF(I$5="A",H233+0,I231*I232)</f>
        <v>0</v>
      </c>
      <c r="J233" s="71" t="n">
        <f aca="false">IF(J$5="A",I233+0,J231*J232)</f>
        <v>0</v>
      </c>
      <c r="K233" s="71" t="n">
        <f aca="false">IF(K$5="A",J233+0,K231*K232)</f>
        <v>0</v>
      </c>
      <c r="L233" s="71" t="n">
        <f aca="false">IF(L$5="A",K233+0,L231*L232)</f>
        <v>0</v>
      </c>
      <c r="M233" s="71" t="n">
        <f aca="false">IF(M$5="A",L233+0,M231*M232)</f>
        <v>0</v>
      </c>
      <c r="N233" s="71" t="n">
        <f aca="false">IF(N$5="A",M233+0,N231*N232)</f>
        <v>0</v>
      </c>
      <c r="O233" s="71" t="n">
        <f aca="false">IF(O$5="A",N233+0,O231*O232)</f>
        <v>0</v>
      </c>
      <c r="P233" s="71" t="n">
        <f aca="false">IF(P$5="A",O233+0,P231*P232)</f>
        <v>0</v>
      </c>
      <c r="Q233" s="71" t="n">
        <f aca="false">IF(Q$5="A",P233+0,Q231*Q232)</f>
        <v>0</v>
      </c>
      <c r="R233" s="71" t="n">
        <f aca="false">IF(R$5="A",Q233+0,R231*R232)</f>
        <v>0</v>
      </c>
      <c r="S233" s="71" t="n">
        <f aca="false">IF(S$5="A",R233+0,S231*S232)</f>
        <v>2851.85185185185</v>
      </c>
      <c r="T233" s="71" t="n">
        <f aca="false">IF(T$5="A",S233+0,T231*T232)</f>
        <v>9981.48148148148</v>
      </c>
      <c r="U233" s="71" t="n">
        <f aca="false">IF(U$5="A",T233+0,U231*U232)</f>
        <v>19250</v>
      </c>
      <c r="V233" s="71" t="n">
        <f aca="false">IF(V$5="A",U233+0,V231*V232)</f>
        <v>28518.5185185185</v>
      </c>
      <c r="W233" s="71" t="n">
        <f aca="false">IF(W$5="A",V233+0,W231*W232)</f>
        <v>35648.1481481481</v>
      </c>
      <c r="X233" s="71" t="n">
        <f aca="false">IF(X$5="A",W233+0,X231*X232)</f>
        <v>38500</v>
      </c>
      <c r="Y233" s="71" t="n">
        <f aca="false">IF(Y$5="A",X233+0,Y231*Y232)</f>
        <v>38500</v>
      </c>
      <c r="Z233" s="71" t="n">
        <f aca="false">IF(Z$5="A",Y233+0,Z231*Z232)</f>
        <v>38500</v>
      </c>
      <c r="AA233" s="71" t="n">
        <f aca="false">IF(AA$5="A",Z233+0,AA231*AA232)</f>
        <v>38500</v>
      </c>
      <c r="AB233" s="71" t="n">
        <f aca="false">IF(AB$5="A",AA233+0,AB231*AB232)</f>
        <v>38500</v>
      </c>
    </row>
    <row r="234" customFormat="false" ht="15" hidden="false" customHeight="false" outlineLevel="0" collapsed="false">
      <c r="A234" s="68" t="s">
        <v>921</v>
      </c>
      <c r="B234" s="69" t="s">
        <v>922</v>
      </c>
      <c r="C234" s="70" t="n">
        <f aca="false">SUM(E234:P234)</f>
        <v>0</v>
      </c>
      <c r="D234" s="70" t="n">
        <f aca="false">SUM(Q234:AB234)</f>
        <v>38500</v>
      </c>
      <c r="E234" s="74" t="n">
        <f aca="false">E233-Project_Register!$Q$19</f>
        <v>0</v>
      </c>
      <c r="F234" s="70" t="n">
        <f aca="false">F233-E233</f>
        <v>0</v>
      </c>
      <c r="G234" s="70" t="n">
        <f aca="false">G233-F233</f>
        <v>0</v>
      </c>
      <c r="H234" s="70" t="n">
        <f aca="false">H233-G233</f>
        <v>0</v>
      </c>
      <c r="I234" s="70" t="n">
        <f aca="false">I233-H233</f>
        <v>0</v>
      </c>
      <c r="J234" s="70" t="n">
        <f aca="false">J233-I233</f>
        <v>0</v>
      </c>
      <c r="K234" s="70" t="n">
        <f aca="false">K233-J233</f>
        <v>0</v>
      </c>
      <c r="L234" s="70" t="n">
        <f aca="false">L233-K233</f>
        <v>0</v>
      </c>
      <c r="M234" s="70" t="n">
        <f aca="false">M233-L233</f>
        <v>0</v>
      </c>
      <c r="N234" s="70" t="n">
        <f aca="false">N233-M233</f>
        <v>0</v>
      </c>
      <c r="O234" s="70" t="n">
        <f aca="false">O233-N233</f>
        <v>0</v>
      </c>
      <c r="P234" s="70" t="n">
        <f aca="false">P233-O233</f>
        <v>0</v>
      </c>
      <c r="Q234" s="70" t="n">
        <f aca="false">Q233-P233</f>
        <v>0</v>
      </c>
      <c r="R234" s="70" t="n">
        <f aca="false">R233-Q233</f>
        <v>0</v>
      </c>
      <c r="S234" s="70" t="n">
        <f aca="false">S233-R233</f>
        <v>2851.85185185185</v>
      </c>
      <c r="T234" s="70" t="n">
        <f aca="false">T233-S233</f>
        <v>7129.62962962963</v>
      </c>
      <c r="U234" s="70" t="n">
        <f aca="false">U233-T233</f>
        <v>9268.51851851852</v>
      </c>
      <c r="V234" s="70" t="n">
        <f aca="false">V233-U233</f>
        <v>9268.51851851852</v>
      </c>
      <c r="W234" s="70" t="n">
        <f aca="false">W233-V233</f>
        <v>7129.62962962962</v>
      </c>
      <c r="X234" s="70" t="n">
        <f aca="false">X233-W233</f>
        <v>2851.85185185185</v>
      </c>
      <c r="Y234" s="70" t="n">
        <f aca="false">Y233-X233</f>
        <v>0</v>
      </c>
      <c r="Z234" s="70" t="n">
        <f aca="false">Z233-Y233</f>
        <v>0</v>
      </c>
      <c r="AA234" s="70" t="n">
        <f aca="false">AA233-Z233</f>
        <v>0</v>
      </c>
      <c r="AB234" s="70" t="n">
        <f aca="false">AB233-AA233</f>
        <v>0</v>
      </c>
    </row>
    <row r="235" customFormat="false" ht="15" hidden="false" customHeight="false" outlineLevel="0" collapsed="false">
      <c r="A235" s="28" t="s">
        <v>923</v>
      </c>
      <c r="B235" s="58" t="s">
        <v>924</v>
      </c>
      <c r="C235" s="59" t="n">
        <f aca="false">P235</f>
        <v>0</v>
      </c>
      <c r="D235" s="59" t="n">
        <f aca="false">AB235</f>
        <v>38500</v>
      </c>
      <c r="E235" s="60" t="n">
        <f aca="false">E232*(Assumptions!$C$71*(Assumptions!E$99&gt;=Project_Register!$T$19)+Assumptions!$C$72*(Assumptions!E$99&gt;=Project_Register!$V$19)+Assumptions!$C$73*(Assumptions!E$99&gt;=Project_Register!$U$19))</f>
        <v>0</v>
      </c>
      <c r="F235" s="60" t="n">
        <f aca="false">F232*(Assumptions!$C$71*(Assumptions!F$99&gt;=Project_Register!$T$19)+Assumptions!$C$72*(Assumptions!F$99&gt;=Project_Register!$V$19)+Assumptions!$C$73*(Assumptions!F$99&gt;=Project_Register!$U$19))</f>
        <v>0</v>
      </c>
      <c r="G235" s="60" t="n">
        <f aca="false">G232*(Assumptions!$C$71*(Assumptions!G$99&gt;=Project_Register!$T$19)+Assumptions!$C$72*(Assumptions!G$99&gt;=Project_Register!$V$19)+Assumptions!$C$73*(Assumptions!G$99&gt;=Project_Register!$U$19))</f>
        <v>0</v>
      </c>
      <c r="H235" s="60" t="n">
        <f aca="false">H232*(Assumptions!$C$71*(Assumptions!H$99&gt;=Project_Register!$T$19)+Assumptions!$C$72*(Assumptions!H$99&gt;=Project_Register!$V$19)+Assumptions!$C$73*(Assumptions!H$99&gt;=Project_Register!$U$19))</f>
        <v>0</v>
      </c>
      <c r="I235" s="60" t="n">
        <f aca="false">I232*(Assumptions!$C$71*(Assumptions!I$99&gt;=Project_Register!$T$19)+Assumptions!$C$72*(Assumptions!I$99&gt;=Project_Register!$V$19)+Assumptions!$C$73*(Assumptions!I$99&gt;=Project_Register!$U$19))</f>
        <v>0</v>
      </c>
      <c r="J235" s="60" t="n">
        <f aca="false">J232*(Assumptions!$C$71*(Assumptions!J$99&gt;=Project_Register!$T$19)+Assumptions!$C$72*(Assumptions!J$99&gt;=Project_Register!$V$19)+Assumptions!$C$73*(Assumptions!J$99&gt;=Project_Register!$U$19))</f>
        <v>0</v>
      </c>
      <c r="K235" s="60" t="n">
        <f aca="false">K232*(Assumptions!$C$71*(Assumptions!K$99&gt;=Project_Register!$T$19)+Assumptions!$C$72*(Assumptions!K$99&gt;=Project_Register!$V$19)+Assumptions!$C$73*(Assumptions!K$99&gt;=Project_Register!$U$19))</f>
        <v>0</v>
      </c>
      <c r="L235" s="60" t="n">
        <f aca="false">L232*(Assumptions!$C$71*(Assumptions!L$99&gt;=Project_Register!$T$19)+Assumptions!$C$72*(Assumptions!L$99&gt;=Project_Register!$V$19)+Assumptions!$C$73*(Assumptions!L$99&gt;=Project_Register!$U$19))</f>
        <v>0</v>
      </c>
      <c r="M235" s="60" t="n">
        <f aca="false">M232*(Assumptions!$C$71*(Assumptions!M$99&gt;=Project_Register!$T$19)+Assumptions!$C$72*(Assumptions!M$99&gt;=Project_Register!$V$19)+Assumptions!$C$73*(Assumptions!M$99&gt;=Project_Register!$U$19))</f>
        <v>0</v>
      </c>
      <c r="N235" s="60" t="n">
        <f aca="false">N232*(Assumptions!$C$71*(Assumptions!N$99&gt;=Project_Register!$T$19)+Assumptions!$C$72*(Assumptions!N$99&gt;=Project_Register!$V$19)+Assumptions!$C$73*(Assumptions!N$99&gt;=Project_Register!$U$19))</f>
        <v>0</v>
      </c>
      <c r="O235" s="60" t="n">
        <f aca="false">O232*(Assumptions!$C$71*(Assumptions!O$99&gt;=Project_Register!$T$19)+Assumptions!$C$72*(Assumptions!O$99&gt;=Project_Register!$V$19)+Assumptions!$C$73*(Assumptions!O$99&gt;=Project_Register!$U$19))</f>
        <v>0</v>
      </c>
      <c r="P235" s="60" t="n">
        <f aca="false">P232*(Assumptions!$C$71*(Assumptions!P$99&gt;=Project_Register!$T$19)+Assumptions!$C$72*(Assumptions!P$99&gt;=Project_Register!$V$19)+Assumptions!$C$73*(Assumptions!P$99&gt;=Project_Register!$U$19))</f>
        <v>0</v>
      </c>
      <c r="Q235" s="60" t="n">
        <f aca="false">Q232*(Assumptions!$C$71*(Assumptions!Q$99&gt;=Project_Register!$T$19)+Assumptions!$C$72*(Assumptions!Q$99&gt;=Project_Register!$V$19)+Assumptions!$C$73*(Assumptions!Q$99&gt;=Project_Register!$U$19))</f>
        <v>0</v>
      </c>
      <c r="R235" s="60" t="n">
        <f aca="false">R232*(Assumptions!$C$71*(Assumptions!R$99&gt;=Project_Register!$T$19)+Assumptions!$C$72*(Assumptions!R$99&gt;=Project_Register!$V$19)+Assumptions!$C$73*(Assumptions!R$99&gt;=Project_Register!$U$19))</f>
        <v>0</v>
      </c>
      <c r="S235" s="60" t="n">
        <f aca="false">S232*(Assumptions!$C$71*(Assumptions!S$99&gt;=Project_Register!$T$19)+Assumptions!$C$72*(Assumptions!S$99&gt;=Project_Register!$V$19)+Assumptions!$C$73*(Assumptions!S$99&gt;=Project_Register!$U$19))</f>
        <v>11550</v>
      </c>
      <c r="T235" s="60" t="n">
        <f aca="false">T232*(Assumptions!$C$71*(Assumptions!T$99&gt;=Project_Register!$T$19)+Assumptions!$C$72*(Assumptions!T$99&gt;=Project_Register!$V$19)+Assumptions!$C$73*(Assumptions!T$99&gt;=Project_Register!$U$19))</f>
        <v>11550</v>
      </c>
      <c r="U235" s="60" t="n">
        <f aca="false">U232*(Assumptions!$C$71*(Assumptions!U$99&gt;=Project_Register!$T$19)+Assumptions!$C$72*(Assumptions!U$99&gt;=Project_Register!$V$19)+Assumptions!$C$73*(Assumptions!U$99&gt;=Project_Register!$U$19))</f>
        <v>11550</v>
      </c>
      <c r="V235" s="60" t="n">
        <f aca="false">V232*(Assumptions!$C$71*(Assumptions!V$99&gt;=Project_Register!$T$19)+Assumptions!$C$72*(Assumptions!V$99&gt;=Project_Register!$V$19)+Assumptions!$C$73*(Assumptions!V$99&gt;=Project_Register!$U$19))</f>
        <v>26950</v>
      </c>
      <c r="W235" s="60" t="n">
        <f aca="false">W232*(Assumptions!$C$71*(Assumptions!W$99&gt;=Project_Register!$T$19)+Assumptions!$C$72*(Assumptions!W$99&gt;=Project_Register!$V$19)+Assumptions!$C$73*(Assumptions!W$99&gt;=Project_Register!$U$19))</f>
        <v>26950</v>
      </c>
      <c r="X235" s="60" t="n">
        <f aca="false">X232*(Assumptions!$C$71*(Assumptions!X$99&gt;=Project_Register!$T$19)+Assumptions!$C$72*(Assumptions!X$99&gt;=Project_Register!$V$19)+Assumptions!$C$73*(Assumptions!X$99&gt;=Project_Register!$U$19))</f>
        <v>38500</v>
      </c>
      <c r="Y235" s="60" t="n">
        <f aca="false">Y232*(Assumptions!$C$71*(Assumptions!Y$99&gt;=Project_Register!$T$19)+Assumptions!$C$72*(Assumptions!Y$99&gt;=Project_Register!$V$19)+Assumptions!$C$73*(Assumptions!Y$99&gt;=Project_Register!$U$19))</f>
        <v>38500</v>
      </c>
      <c r="Z235" s="60" t="n">
        <f aca="false">Z232*(Assumptions!$C$71*(Assumptions!Z$99&gt;=Project_Register!$T$19)+Assumptions!$C$72*(Assumptions!Z$99&gt;=Project_Register!$V$19)+Assumptions!$C$73*(Assumptions!Z$99&gt;=Project_Register!$U$19))</f>
        <v>38500</v>
      </c>
      <c r="AA235" s="60" t="n">
        <f aca="false">AA232*(Assumptions!$C$71*(Assumptions!AA$99&gt;=Project_Register!$T$19)+Assumptions!$C$72*(Assumptions!AA$99&gt;=Project_Register!$V$19)+Assumptions!$C$73*(Assumptions!AA$99&gt;=Project_Register!$U$19))</f>
        <v>38500</v>
      </c>
      <c r="AB235" s="60" t="n">
        <f aca="false">AB232*(Assumptions!$C$71*(Assumptions!AB$99&gt;=Project_Register!$T$19)+Assumptions!$C$72*(Assumptions!AB$99&gt;=Project_Register!$V$19)+Assumptions!$C$73*(Assumptions!AB$99&gt;=Project_Register!$U$19))</f>
        <v>38500</v>
      </c>
    </row>
    <row r="236" customFormat="false" ht="15" hidden="false" customHeight="false" outlineLevel="0" collapsed="false">
      <c r="A236" s="28" t="s">
        <v>925</v>
      </c>
      <c r="B236" s="58" t="s">
        <v>926</v>
      </c>
      <c r="C236" s="59" t="n">
        <f aca="false">SUM(E236:P236)</f>
        <v>0</v>
      </c>
      <c r="D236" s="59" t="n">
        <f aca="false">SUM(Q236:AB236)</f>
        <v>38500</v>
      </c>
      <c r="E236" s="60" t="n">
        <f aca="false">IF(E$5="A",0,MAX(0,E235-Project_Register!$R$19))</f>
        <v>0</v>
      </c>
      <c r="F236" s="71" t="n">
        <f aca="false">IF(F$5="A",0,MAX(0,F235-E237))</f>
        <v>0</v>
      </c>
      <c r="G236" s="71" t="n">
        <f aca="false">IF(G$5="A",0,MAX(0,G235-F237))</f>
        <v>0</v>
      </c>
      <c r="H236" s="71" t="n">
        <f aca="false">IF(H$5="A",0,MAX(0,H235-G237))</f>
        <v>0</v>
      </c>
      <c r="I236" s="71" t="n">
        <f aca="false">IF(I$5="A",0,MAX(0,I235-H237))</f>
        <v>0</v>
      </c>
      <c r="J236" s="71" t="n">
        <f aca="false">IF(J$5="A",0,MAX(0,J235-I237))</f>
        <v>0</v>
      </c>
      <c r="K236" s="71" t="n">
        <f aca="false">IF(K$5="A",0,MAX(0,K235-J237))</f>
        <v>0</v>
      </c>
      <c r="L236" s="71" t="n">
        <f aca="false">IF(L$5="A",0,MAX(0,L235-K237))</f>
        <v>0</v>
      </c>
      <c r="M236" s="71" t="n">
        <f aca="false">IF(M$5="A",0,MAX(0,M235-L237))</f>
        <v>0</v>
      </c>
      <c r="N236" s="71" t="n">
        <f aca="false">IF(N$5="A",0,MAX(0,N235-M237))</f>
        <v>0</v>
      </c>
      <c r="O236" s="71" t="n">
        <f aca="false">IF(O$5="A",0,MAX(0,O235-N237))</f>
        <v>0</v>
      </c>
      <c r="P236" s="71" t="n">
        <f aca="false">IF(P$5="A",0,MAX(0,P235-O237))</f>
        <v>0</v>
      </c>
      <c r="Q236" s="71" t="n">
        <f aca="false">IF(Q$5="A",0,MAX(0,Q235-P237))</f>
        <v>0</v>
      </c>
      <c r="R236" s="71" t="n">
        <f aca="false">IF(R$5="A",0,MAX(0,R235-Q237))</f>
        <v>0</v>
      </c>
      <c r="S236" s="71" t="n">
        <f aca="false">IF(S$5="A",0,MAX(0,S235-R237))</f>
        <v>11550</v>
      </c>
      <c r="T236" s="71" t="n">
        <f aca="false">IF(T$5="A",0,MAX(0,T235-S237))</f>
        <v>0</v>
      </c>
      <c r="U236" s="71" t="n">
        <f aca="false">IF(U$5="A",0,MAX(0,U235-T237))</f>
        <v>0</v>
      </c>
      <c r="V236" s="71" t="n">
        <f aca="false">IF(V$5="A",0,MAX(0,V235-U237))</f>
        <v>15400</v>
      </c>
      <c r="W236" s="71" t="n">
        <f aca="false">IF(W$5="A",0,MAX(0,W235-V237))</f>
        <v>0</v>
      </c>
      <c r="X236" s="71" t="n">
        <f aca="false">IF(X$5="A",0,MAX(0,X235-W237))</f>
        <v>11550</v>
      </c>
      <c r="Y236" s="71" t="n">
        <f aca="false">IF(Y$5="A",0,MAX(0,Y235-X237))</f>
        <v>0</v>
      </c>
      <c r="Z236" s="71" t="n">
        <f aca="false">IF(Z$5="A",0,MAX(0,Z235-Y237))</f>
        <v>0</v>
      </c>
      <c r="AA236" s="71" t="n">
        <f aca="false">IF(AA$5="A",0,MAX(0,AA235-Z237))</f>
        <v>0</v>
      </c>
      <c r="AB236" s="71" t="n">
        <f aca="false">IF(AB$5="A",0,MAX(0,AB235-AA237))</f>
        <v>0</v>
      </c>
    </row>
    <row r="237" customFormat="false" ht="15" hidden="false" customHeight="false" outlineLevel="0" collapsed="false">
      <c r="A237" s="28" t="s">
        <v>927</v>
      </c>
      <c r="B237" s="58"/>
      <c r="C237" s="59" t="n">
        <f aca="false">P237</f>
        <v>0</v>
      </c>
      <c r="D237" s="59" t="n">
        <f aca="false">AB237</f>
        <v>38500</v>
      </c>
      <c r="E237" s="60" t="n">
        <f aca="false">Project_Register!$R$19+E236</f>
        <v>0</v>
      </c>
      <c r="F237" s="71" t="n">
        <f aca="false">E237+F236</f>
        <v>0</v>
      </c>
      <c r="G237" s="71" t="n">
        <f aca="false">F237+G236</f>
        <v>0</v>
      </c>
      <c r="H237" s="71" t="n">
        <f aca="false">G237+H236</f>
        <v>0</v>
      </c>
      <c r="I237" s="71" t="n">
        <f aca="false">H237+I236</f>
        <v>0</v>
      </c>
      <c r="J237" s="71" t="n">
        <f aca="false">I237+J236</f>
        <v>0</v>
      </c>
      <c r="K237" s="71" t="n">
        <f aca="false">J237+K236</f>
        <v>0</v>
      </c>
      <c r="L237" s="71" t="n">
        <f aca="false">K237+L236</f>
        <v>0</v>
      </c>
      <c r="M237" s="71" t="n">
        <f aca="false">L237+M236</f>
        <v>0</v>
      </c>
      <c r="N237" s="71" t="n">
        <f aca="false">M237+N236</f>
        <v>0</v>
      </c>
      <c r="O237" s="71" t="n">
        <f aca="false">N237+O236</f>
        <v>0</v>
      </c>
      <c r="P237" s="71" t="n">
        <f aca="false">O237+P236</f>
        <v>0</v>
      </c>
      <c r="Q237" s="71" t="n">
        <f aca="false">P237+Q236</f>
        <v>0</v>
      </c>
      <c r="R237" s="71" t="n">
        <f aca="false">Q237+R236</f>
        <v>0</v>
      </c>
      <c r="S237" s="71" t="n">
        <f aca="false">R237+S236</f>
        <v>11550</v>
      </c>
      <c r="T237" s="71" t="n">
        <f aca="false">S237+T236</f>
        <v>11550</v>
      </c>
      <c r="U237" s="71" t="n">
        <f aca="false">T237+U236</f>
        <v>11550</v>
      </c>
      <c r="V237" s="71" t="n">
        <f aca="false">U237+V236</f>
        <v>26950</v>
      </c>
      <c r="W237" s="71" t="n">
        <f aca="false">V237+W236</f>
        <v>26950</v>
      </c>
      <c r="X237" s="71" t="n">
        <f aca="false">W237+X236</f>
        <v>38500</v>
      </c>
      <c r="Y237" s="71" t="n">
        <f aca="false">X237+Y236</f>
        <v>38500</v>
      </c>
      <c r="Z237" s="71" t="n">
        <f aca="false">Y237+Z236</f>
        <v>38500</v>
      </c>
      <c r="AA237" s="71" t="n">
        <f aca="false">Z237+AA236</f>
        <v>38500</v>
      </c>
      <c r="AB237" s="71" t="n">
        <f aca="false">AA237+AB236</f>
        <v>38500</v>
      </c>
    </row>
    <row r="238" customFormat="false" ht="15" hidden="false" customHeight="false" outlineLevel="0" collapsed="false">
      <c r="A238" s="28" t="s">
        <v>928</v>
      </c>
      <c r="B238" s="58" t="s">
        <v>929</v>
      </c>
      <c r="C238" s="59" t="n">
        <f aca="false">P238</f>
        <v>0</v>
      </c>
      <c r="D238" s="59" t="n">
        <f aca="false">AB238</f>
        <v>0</v>
      </c>
      <c r="E238" s="71" t="n">
        <f aca="false">E233-E237</f>
        <v>0</v>
      </c>
      <c r="F238" s="71" t="n">
        <f aca="false">F233-F237</f>
        <v>0</v>
      </c>
      <c r="G238" s="71" t="n">
        <f aca="false">G233-G237</f>
        <v>0</v>
      </c>
      <c r="H238" s="71" t="n">
        <f aca="false">H233-H237</f>
        <v>0</v>
      </c>
      <c r="I238" s="71" t="n">
        <f aca="false">I233-I237</f>
        <v>0</v>
      </c>
      <c r="J238" s="71" t="n">
        <f aca="false">J233-J237</f>
        <v>0</v>
      </c>
      <c r="K238" s="71" t="n">
        <f aca="false">K233-K237</f>
        <v>0</v>
      </c>
      <c r="L238" s="71" t="n">
        <f aca="false">L233-L237</f>
        <v>0</v>
      </c>
      <c r="M238" s="71" t="n">
        <f aca="false">M233-M237</f>
        <v>0</v>
      </c>
      <c r="N238" s="71" t="n">
        <f aca="false">N233-N237</f>
        <v>0</v>
      </c>
      <c r="O238" s="71" t="n">
        <f aca="false">O233-O237</f>
        <v>0</v>
      </c>
      <c r="P238" s="71" t="n">
        <f aca="false">P233-P237</f>
        <v>0</v>
      </c>
      <c r="Q238" s="71" t="n">
        <f aca="false">Q233-Q237</f>
        <v>0</v>
      </c>
      <c r="R238" s="71" t="n">
        <f aca="false">R233-R237</f>
        <v>0</v>
      </c>
      <c r="S238" s="71" t="n">
        <f aca="false">S233-S237</f>
        <v>-8698.14814814815</v>
      </c>
      <c r="T238" s="71" t="n">
        <f aca="false">T233-T237</f>
        <v>-1568.51851851852</v>
      </c>
      <c r="U238" s="71" t="n">
        <f aca="false">U233-U237</f>
        <v>7700</v>
      </c>
      <c r="V238" s="71" t="n">
        <f aca="false">V233-V237</f>
        <v>1568.51851851852</v>
      </c>
      <c r="W238" s="71" t="n">
        <f aca="false">W233-W237</f>
        <v>8698.14814814815</v>
      </c>
      <c r="X238" s="71" t="n">
        <f aca="false">X233-X237</f>
        <v>0</v>
      </c>
      <c r="Y238" s="71" t="n">
        <f aca="false">Y233-Y237</f>
        <v>0</v>
      </c>
      <c r="Z238" s="71" t="n">
        <f aca="false">Z233-Z237</f>
        <v>0</v>
      </c>
      <c r="AA238" s="71" t="n">
        <f aca="false">AA233-AA237</f>
        <v>0</v>
      </c>
      <c r="AB238" s="71" t="n">
        <f aca="false">AB233-AB237</f>
        <v>0</v>
      </c>
    </row>
    <row r="239" customFormat="false" ht="15" hidden="false" customHeight="false" outlineLevel="0" collapsed="false">
      <c r="A239" s="28" t="s">
        <v>930</v>
      </c>
      <c r="B239" s="58"/>
      <c r="C239" s="59" t="n">
        <f aca="false">P239</f>
        <v>38500</v>
      </c>
      <c r="D239" s="59" t="n">
        <f aca="false">AB239</f>
        <v>0</v>
      </c>
      <c r="E239" s="71" t="n">
        <f aca="false">MAX(0,E232-E233)</f>
        <v>0</v>
      </c>
      <c r="F239" s="71" t="n">
        <f aca="false">MAX(0,F232-F233)</f>
        <v>0</v>
      </c>
      <c r="G239" s="71" t="n">
        <f aca="false">MAX(0,G232-G233)</f>
        <v>0</v>
      </c>
      <c r="H239" s="71" t="n">
        <f aca="false">MAX(0,H232-H233)</f>
        <v>0</v>
      </c>
      <c r="I239" s="71" t="n">
        <f aca="false">MAX(0,I232-I233)</f>
        <v>0</v>
      </c>
      <c r="J239" s="71" t="n">
        <f aca="false">MAX(0,J232-J233)</f>
        <v>0</v>
      </c>
      <c r="K239" s="71" t="n">
        <f aca="false">MAX(0,K232-K233)</f>
        <v>0</v>
      </c>
      <c r="L239" s="71" t="n">
        <f aca="false">MAX(0,L232-L233)</f>
        <v>0</v>
      </c>
      <c r="M239" s="71" t="n">
        <f aca="false">MAX(0,M232-M233)</f>
        <v>38500</v>
      </c>
      <c r="N239" s="71" t="n">
        <f aca="false">MAX(0,N232-N233)</f>
        <v>38500</v>
      </c>
      <c r="O239" s="71" t="n">
        <f aca="false">MAX(0,O232-O233)</f>
        <v>38500</v>
      </c>
      <c r="P239" s="71" t="n">
        <f aca="false">MAX(0,P232-P233)</f>
        <v>38500</v>
      </c>
      <c r="Q239" s="71" t="n">
        <f aca="false">MAX(0,Q232-Q233)</f>
        <v>38500</v>
      </c>
      <c r="R239" s="71" t="n">
        <f aca="false">MAX(0,R232-R233)</f>
        <v>38500</v>
      </c>
      <c r="S239" s="71" t="n">
        <f aca="false">MAX(0,S232-S233)</f>
        <v>35648.1481481481</v>
      </c>
      <c r="T239" s="71" t="n">
        <f aca="false">MAX(0,T232-T233)</f>
        <v>28518.5185185185</v>
      </c>
      <c r="U239" s="71" t="n">
        <f aca="false">MAX(0,U232-U233)</f>
        <v>19250</v>
      </c>
      <c r="V239" s="71" t="n">
        <f aca="false">MAX(0,V232-V233)</f>
        <v>9981.48148148148</v>
      </c>
      <c r="W239" s="71" t="n">
        <f aca="false">MAX(0,W232-W233)</f>
        <v>2851.85185185185</v>
      </c>
      <c r="X239" s="71" t="n">
        <f aca="false">MAX(0,X232-X233)</f>
        <v>0</v>
      </c>
      <c r="Y239" s="71" t="n">
        <f aca="false">MAX(0,Y232-Y233)</f>
        <v>0</v>
      </c>
      <c r="Z239" s="71" t="n">
        <f aca="false">MAX(0,Z232-Z233)</f>
        <v>0</v>
      </c>
      <c r="AA239" s="71" t="n">
        <f aca="false">MAX(0,AA232-AA233)</f>
        <v>0</v>
      </c>
      <c r="AB239" s="71" t="n">
        <f aca="false">MAX(0,AB232-AB233)</f>
        <v>0</v>
      </c>
    </row>
    <row r="241" customFormat="false" ht="15" hidden="false" customHeight="false" outlineLevel="0" collapsed="false">
      <c r="A241" s="22" t="s">
        <v>952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row>
    <row r="242" customFormat="false" ht="15" hidden="false" customHeight="false" outlineLevel="0" collapsed="false">
      <c r="A242" s="28" t="s">
        <v>905</v>
      </c>
      <c r="B242" s="58" t="s">
        <v>906</v>
      </c>
      <c r="E242" s="112" t="n">
        <f aca="false">MIN(1,MAX(0,(Assumptions!E$99-Project_Register!$T$20+1)/(Project_Register!$U$20-Project_Register!$T$20+1)))</f>
        <v>0</v>
      </c>
      <c r="F242" s="112" t="n">
        <f aca="false">MIN(1,MAX(0,(Assumptions!F$99-Project_Register!$T$20+1)/(Project_Register!$U$20-Project_Register!$T$20+1)))</f>
        <v>0</v>
      </c>
      <c r="G242" s="112" t="n">
        <f aca="false">MIN(1,MAX(0,(Assumptions!G$99-Project_Register!$T$20+1)/(Project_Register!$U$20-Project_Register!$T$20+1)))</f>
        <v>0</v>
      </c>
      <c r="H242" s="112" t="n">
        <f aca="false">MIN(1,MAX(0,(Assumptions!H$99-Project_Register!$T$20+1)/(Project_Register!$U$20-Project_Register!$T$20+1)))</f>
        <v>0</v>
      </c>
      <c r="I242" s="112" t="n">
        <f aca="false">MIN(1,MAX(0,(Assumptions!I$99-Project_Register!$T$20+1)/(Project_Register!$U$20-Project_Register!$T$20+1)))</f>
        <v>0</v>
      </c>
      <c r="J242" s="112" t="n">
        <f aca="false">MIN(1,MAX(0,(Assumptions!J$99-Project_Register!$T$20+1)/(Project_Register!$U$20-Project_Register!$T$20+1)))</f>
        <v>0</v>
      </c>
      <c r="K242" s="112" t="n">
        <f aca="false">MIN(1,MAX(0,(Assumptions!K$99-Project_Register!$T$20+1)/(Project_Register!$U$20-Project_Register!$T$20+1)))</f>
        <v>0</v>
      </c>
      <c r="L242" s="112" t="n">
        <f aca="false">MIN(1,MAX(0,(Assumptions!L$99-Project_Register!$T$20+1)/(Project_Register!$U$20-Project_Register!$T$20+1)))</f>
        <v>0</v>
      </c>
      <c r="M242" s="112" t="n">
        <f aca="false">MIN(1,MAX(0,(Assumptions!M$99-Project_Register!$T$20+1)/(Project_Register!$U$20-Project_Register!$T$20+1)))</f>
        <v>0</v>
      </c>
      <c r="N242" s="112" t="n">
        <f aca="false">MIN(1,MAX(0,(Assumptions!N$99-Project_Register!$T$20+1)/(Project_Register!$U$20-Project_Register!$T$20+1)))</f>
        <v>0</v>
      </c>
      <c r="O242" s="112" t="n">
        <f aca="false">MIN(1,MAX(0,(Assumptions!O$99-Project_Register!$T$20+1)/(Project_Register!$U$20-Project_Register!$T$20+1)))</f>
        <v>0</v>
      </c>
      <c r="P242" s="112" t="n">
        <f aca="false">MIN(1,MAX(0,(Assumptions!P$99-Project_Register!$T$20+1)/(Project_Register!$U$20-Project_Register!$T$20+1)))</f>
        <v>0</v>
      </c>
      <c r="Q242" s="112" t="n">
        <f aca="false">MIN(1,MAX(0,(Assumptions!Q$99-Project_Register!$T$20+1)/(Project_Register!$U$20-Project_Register!$T$20+1)))</f>
        <v>0.2</v>
      </c>
      <c r="R242" s="112" t="n">
        <f aca="false">MIN(1,MAX(0,(Assumptions!R$99-Project_Register!$T$20+1)/(Project_Register!$U$20-Project_Register!$T$20+1)))</f>
        <v>0.4</v>
      </c>
      <c r="S242" s="112" t="n">
        <f aca="false">MIN(1,MAX(0,(Assumptions!S$99-Project_Register!$T$20+1)/(Project_Register!$U$20-Project_Register!$T$20+1)))</f>
        <v>0.6</v>
      </c>
      <c r="T242" s="112" t="n">
        <f aca="false">MIN(1,MAX(0,(Assumptions!T$99-Project_Register!$T$20+1)/(Project_Register!$U$20-Project_Register!$T$20+1)))</f>
        <v>0.8</v>
      </c>
      <c r="U242" s="112" t="n">
        <f aca="false">MIN(1,MAX(0,(Assumptions!U$99-Project_Register!$T$20+1)/(Project_Register!$U$20-Project_Register!$T$20+1)))</f>
        <v>1</v>
      </c>
      <c r="V242" s="112" t="n">
        <f aca="false">MIN(1,MAX(0,(Assumptions!V$99-Project_Register!$T$20+1)/(Project_Register!$U$20-Project_Register!$T$20+1)))</f>
        <v>1</v>
      </c>
      <c r="W242" s="112" t="n">
        <f aca="false">MIN(1,MAX(0,(Assumptions!W$99-Project_Register!$T$20+1)/(Project_Register!$U$20-Project_Register!$T$20+1)))</f>
        <v>1</v>
      </c>
      <c r="X242" s="112" t="n">
        <f aca="false">MIN(1,MAX(0,(Assumptions!X$99-Project_Register!$T$20+1)/(Project_Register!$U$20-Project_Register!$T$20+1)))</f>
        <v>1</v>
      </c>
      <c r="Y242" s="112" t="n">
        <f aca="false">MIN(1,MAX(0,(Assumptions!Y$99-Project_Register!$T$20+1)/(Project_Register!$U$20-Project_Register!$T$20+1)))</f>
        <v>1</v>
      </c>
      <c r="Z242" s="112" t="n">
        <f aca="false">MIN(1,MAX(0,(Assumptions!Z$99-Project_Register!$T$20+1)/(Project_Register!$U$20-Project_Register!$T$20+1)))</f>
        <v>1</v>
      </c>
      <c r="AA242" s="112" t="n">
        <f aca="false">MIN(1,MAX(0,(Assumptions!AA$99-Project_Register!$T$20+1)/(Project_Register!$U$20-Project_Register!$T$20+1)))</f>
        <v>1</v>
      </c>
      <c r="AB242" s="112" t="n">
        <f aca="false">MIN(1,MAX(0,(Assumptions!AB$99-Project_Register!$T$20+1)/(Project_Register!$U$20-Project_Register!$T$20+1)))</f>
        <v>1</v>
      </c>
    </row>
    <row r="243" customFormat="false" ht="15" hidden="false" customHeight="false" outlineLevel="0" collapsed="false">
      <c r="A243" s="28" t="s">
        <v>907</v>
      </c>
      <c r="B243" s="58" t="s">
        <v>908</v>
      </c>
      <c r="E243" s="113" t="n">
        <f aca="false">3*E242^2-2*E242^3</f>
        <v>0</v>
      </c>
      <c r="F243" s="113" t="n">
        <f aca="false">3*F242^2-2*F242^3</f>
        <v>0</v>
      </c>
      <c r="G243" s="113" t="n">
        <f aca="false">3*G242^2-2*G242^3</f>
        <v>0</v>
      </c>
      <c r="H243" s="113" t="n">
        <f aca="false">3*H242^2-2*H242^3</f>
        <v>0</v>
      </c>
      <c r="I243" s="113" t="n">
        <f aca="false">3*I242^2-2*I242^3</f>
        <v>0</v>
      </c>
      <c r="J243" s="113" t="n">
        <f aca="false">3*J242^2-2*J242^3</f>
        <v>0</v>
      </c>
      <c r="K243" s="113" t="n">
        <f aca="false">3*K242^2-2*K242^3</f>
        <v>0</v>
      </c>
      <c r="L243" s="113" t="n">
        <f aca="false">3*L242^2-2*L242^3</f>
        <v>0</v>
      </c>
      <c r="M243" s="113" t="n">
        <f aca="false">3*M242^2-2*M242^3</f>
        <v>0</v>
      </c>
      <c r="N243" s="113" t="n">
        <f aca="false">3*N242^2-2*N242^3</f>
        <v>0</v>
      </c>
      <c r="O243" s="113" t="n">
        <f aca="false">3*O242^2-2*O242^3</f>
        <v>0</v>
      </c>
      <c r="P243" s="113" t="n">
        <f aca="false">3*P242^2-2*P242^3</f>
        <v>0</v>
      </c>
      <c r="Q243" s="113" t="n">
        <f aca="false">3*Q242^2-2*Q242^3</f>
        <v>0.104</v>
      </c>
      <c r="R243" s="113" t="n">
        <f aca="false">3*R242^2-2*R242^3</f>
        <v>0.352</v>
      </c>
      <c r="S243" s="113" t="n">
        <f aca="false">3*S242^2-2*S242^3</f>
        <v>0.648</v>
      </c>
      <c r="T243" s="113" t="n">
        <f aca="false">3*T242^2-2*T242^3</f>
        <v>0.896</v>
      </c>
      <c r="U243" s="113" t="n">
        <f aca="false">3*U242^2-2*U242^3</f>
        <v>1</v>
      </c>
      <c r="V243" s="113" t="n">
        <f aca="false">3*V242^2-2*V242^3</f>
        <v>1</v>
      </c>
      <c r="W243" s="113" t="n">
        <f aca="false">3*W242^2-2*W242^3</f>
        <v>1</v>
      </c>
      <c r="X243" s="113" t="n">
        <f aca="false">3*X242^2-2*X242^3</f>
        <v>1</v>
      </c>
      <c r="Y243" s="113" t="n">
        <f aca="false">3*Y242^2-2*Y242^3</f>
        <v>1</v>
      </c>
      <c r="Z243" s="113" t="n">
        <f aca="false">3*Z242^2-2*Z242^3</f>
        <v>1</v>
      </c>
      <c r="AA243" s="113" t="n">
        <f aca="false">3*AA242^2-2*AA242^3</f>
        <v>1</v>
      </c>
      <c r="AB243" s="113" t="n">
        <f aca="false">3*AB242^2-2*AB242^3</f>
        <v>1</v>
      </c>
    </row>
    <row r="244" customFormat="false" ht="15" hidden="false" customHeight="false" outlineLevel="0" collapsed="false">
      <c r="A244" s="28" t="s">
        <v>909</v>
      </c>
      <c r="B244" s="58"/>
      <c r="E244" s="112" t="n">
        <f aca="false">3*MIN(1,MAX(0,(Assumptions!E$99-Project_Register!$T$20)/(Project_Register!$U$20-Project_Register!$T$20+1)))^2-2*MIN(1,MAX(0,(Assumptions!E$99-Project_Register!$T$20)/(Project_Register!$U$20-Project_Register!$T$20+1)))^3</f>
        <v>0</v>
      </c>
      <c r="F244" s="112" t="n">
        <f aca="false">3*MIN(1,MAX(0,(Assumptions!F$99-Project_Register!$T$20)/(Project_Register!$U$20-Project_Register!$T$20+1)))^2-2*MIN(1,MAX(0,(Assumptions!F$99-Project_Register!$T$20)/(Project_Register!$U$20-Project_Register!$T$20+1)))^3</f>
        <v>0</v>
      </c>
      <c r="G244" s="112" t="n">
        <f aca="false">3*MIN(1,MAX(0,(Assumptions!G$99-Project_Register!$T$20)/(Project_Register!$U$20-Project_Register!$T$20+1)))^2-2*MIN(1,MAX(0,(Assumptions!G$99-Project_Register!$T$20)/(Project_Register!$U$20-Project_Register!$T$20+1)))^3</f>
        <v>0</v>
      </c>
      <c r="H244" s="112" t="n">
        <f aca="false">3*MIN(1,MAX(0,(Assumptions!H$99-Project_Register!$T$20)/(Project_Register!$U$20-Project_Register!$T$20+1)))^2-2*MIN(1,MAX(0,(Assumptions!H$99-Project_Register!$T$20)/(Project_Register!$U$20-Project_Register!$T$20+1)))^3</f>
        <v>0</v>
      </c>
      <c r="I244" s="112" t="n">
        <f aca="false">3*MIN(1,MAX(0,(Assumptions!I$99-Project_Register!$T$20)/(Project_Register!$U$20-Project_Register!$T$20+1)))^2-2*MIN(1,MAX(0,(Assumptions!I$99-Project_Register!$T$20)/(Project_Register!$U$20-Project_Register!$T$20+1)))^3</f>
        <v>0</v>
      </c>
      <c r="J244" s="112" t="n">
        <f aca="false">3*MIN(1,MAX(0,(Assumptions!J$99-Project_Register!$T$20)/(Project_Register!$U$20-Project_Register!$T$20+1)))^2-2*MIN(1,MAX(0,(Assumptions!J$99-Project_Register!$T$20)/(Project_Register!$U$20-Project_Register!$T$20+1)))^3</f>
        <v>0</v>
      </c>
      <c r="K244" s="112" t="n">
        <f aca="false">3*MIN(1,MAX(0,(Assumptions!K$99-Project_Register!$T$20)/(Project_Register!$U$20-Project_Register!$T$20+1)))^2-2*MIN(1,MAX(0,(Assumptions!K$99-Project_Register!$T$20)/(Project_Register!$U$20-Project_Register!$T$20+1)))^3</f>
        <v>0</v>
      </c>
      <c r="L244" s="112" t="n">
        <f aca="false">3*MIN(1,MAX(0,(Assumptions!L$99-Project_Register!$T$20)/(Project_Register!$U$20-Project_Register!$T$20+1)))^2-2*MIN(1,MAX(0,(Assumptions!L$99-Project_Register!$T$20)/(Project_Register!$U$20-Project_Register!$T$20+1)))^3</f>
        <v>0</v>
      </c>
      <c r="M244" s="112" t="n">
        <f aca="false">3*MIN(1,MAX(0,(Assumptions!M$99-Project_Register!$T$20)/(Project_Register!$U$20-Project_Register!$T$20+1)))^2-2*MIN(1,MAX(0,(Assumptions!M$99-Project_Register!$T$20)/(Project_Register!$U$20-Project_Register!$T$20+1)))^3</f>
        <v>0</v>
      </c>
      <c r="N244" s="112" t="n">
        <f aca="false">3*MIN(1,MAX(0,(Assumptions!N$99-Project_Register!$T$20)/(Project_Register!$U$20-Project_Register!$T$20+1)))^2-2*MIN(1,MAX(0,(Assumptions!N$99-Project_Register!$T$20)/(Project_Register!$U$20-Project_Register!$T$20+1)))^3</f>
        <v>0</v>
      </c>
      <c r="O244" s="112" t="n">
        <f aca="false">3*MIN(1,MAX(0,(Assumptions!O$99-Project_Register!$T$20)/(Project_Register!$U$20-Project_Register!$T$20+1)))^2-2*MIN(1,MAX(0,(Assumptions!O$99-Project_Register!$T$20)/(Project_Register!$U$20-Project_Register!$T$20+1)))^3</f>
        <v>0</v>
      </c>
      <c r="P244" s="112" t="n">
        <f aca="false">3*MIN(1,MAX(0,(Assumptions!P$99-Project_Register!$T$20)/(Project_Register!$U$20-Project_Register!$T$20+1)))^2-2*MIN(1,MAX(0,(Assumptions!P$99-Project_Register!$T$20)/(Project_Register!$U$20-Project_Register!$T$20+1)))^3</f>
        <v>0</v>
      </c>
      <c r="Q244" s="112" t="n">
        <f aca="false">3*MIN(1,MAX(0,(Assumptions!Q$99-Project_Register!$T$20)/(Project_Register!$U$20-Project_Register!$T$20+1)))^2-2*MIN(1,MAX(0,(Assumptions!Q$99-Project_Register!$T$20)/(Project_Register!$U$20-Project_Register!$T$20+1)))^3</f>
        <v>0</v>
      </c>
      <c r="R244" s="112" t="n">
        <f aca="false">3*MIN(1,MAX(0,(Assumptions!R$99-Project_Register!$T$20)/(Project_Register!$U$20-Project_Register!$T$20+1)))^2-2*MIN(1,MAX(0,(Assumptions!R$99-Project_Register!$T$20)/(Project_Register!$U$20-Project_Register!$T$20+1)))^3</f>
        <v>0.104</v>
      </c>
      <c r="S244" s="112" t="n">
        <f aca="false">3*MIN(1,MAX(0,(Assumptions!S$99-Project_Register!$T$20)/(Project_Register!$U$20-Project_Register!$T$20+1)))^2-2*MIN(1,MAX(0,(Assumptions!S$99-Project_Register!$T$20)/(Project_Register!$U$20-Project_Register!$T$20+1)))^3</f>
        <v>0.352</v>
      </c>
      <c r="T244" s="112" t="n">
        <f aca="false">3*MIN(1,MAX(0,(Assumptions!T$99-Project_Register!$T$20)/(Project_Register!$U$20-Project_Register!$T$20+1)))^2-2*MIN(1,MAX(0,(Assumptions!T$99-Project_Register!$T$20)/(Project_Register!$U$20-Project_Register!$T$20+1)))^3</f>
        <v>0.648</v>
      </c>
      <c r="U244" s="112" t="n">
        <f aca="false">3*MIN(1,MAX(0,(Assumptions!U$99-Project_Register!$T$20)/(Project_Register!$U$20-Project_Register!$T$20+1)))^2-2*MIN(1,MAX(0,(Assumptions!U$99-Project_Register!$T$20)/(Project_Register!$U$20-Project_Register!$T$20+1)))^3</f>
        <v>0.896</v>
      </c>
      <c r="V244" s="112" t="n">
        <f aca="false">3*MIN(1,MAX(0,(Assumptions!V$99-Project_Register!$T$20)/(Project_Register!$U$20-Project_Register!$T$20+1)))^2-2*MIN(1,MAX(0,(Assumptions!V$99-Project_Register!$T$20)/(Project_Register!$U$20-Project_Register!$T$20+1)))^3</f>
        <v>1</v>
      </c>
      <c r="W244" s="112" t="n">
        <f aca="false">3*MIN(1,MAX(0,(Assumptions!W$99-Project_Register!$T$20)/(Project_Register!$U$20-Project_Register!$T$20+1)))^2-2*MIN(1,MAX(0,(Assumptions!W$99-Project_Register!$T$20)/(Project_Register!$U$20-Project_Register!$T$20+1)))^3</f>
        <v>1</v>
      </c>
      <c r="X244" s="112" t="n">
        <f aca="false">3*MIN(1,MAX(0,(Assumptions!X$99-Project_Register!$T$20)/(Project_Register!$U$20-Project_Register!$T$20+1)))^2-2*MIN(1,MAX(0,(Assumptions!X$99-Project_Register!$T$20)/(Project_Register!$U$20-Project_Register!$T$20+1)))^3</f>
        <v>1</v>
      </c>
      <c r="Y244" s="112" t="n">
        <f aca="false">3*MIN(1,MAX(0,(Assumptions!Y$99-Project_Register!$T$20)/(Project_Register!$U$20-Project_Register!$T$20+1)))^2-2*MIN(1,MAX(0,(Assumptions!Y$99-Project_Register!$T$20)/(Project_Register!$U$20-Project_Register!$T$20+1)))^3</f>
        <v>1</v>
      </c>
      <c r="Z244" s="112" t="n">
        <f aca="false">3*MIN(1,MAX(0,(Assumptions!Z$99-Project_Register!$T$20)/(Project_Register!$U$20-Project_Register!$T$20+1)))^2-2*MIN(1,MAX(0,(Assumptions!Z$99-Project_Register!$T$20)/(Project_Register!$U$20-Project_Register!$T$20+1)))^3</f>
        <v>1</v>
      </c>
      <c r="AA244" s="112" t="n">
        <f aca="false">3*MIN(1,MAX(0,(Assumptions!AA$99-Project_Register!$T$20)/(Project_Register!$U$20-Project_Register!$T$20+1)))^2-2*MIN(1,MAX(0,(Assumptions!AA$99-Project_Register!$T$20)/(Project_Register!$U$20-Project_Register!$T$20+1)))^3</f>
        <v>1</v>
      </c>
      <c r="AB244" s="112" t="n">
        <f aca="false">3*MIN(1,MAX(0,(Assumptions!AB$99-Project_Register!$T$20)/(Project_Register!$U$20-Project_Register!$T$20+1)))^2-2*MIN(1,MAX(0,(Assumptions!AB$99-Project_Register!$T$20)/(Project_Register!$U$20-Project_Register!$T$20+1)))^3</f>
        <v>1</v>
      </c>
    </row>
    <row r="245" customFormat="false" ht="15" hidden="false" customHeight="false" outlineLevel="0" collapsed="false">
      <c r="A245" s="28" t="s">
        <v>802</v>
      </c>
      <c r="B245" s="58" t="s">
        <v>910</v>
      </c>
      <c r="C245" s="66" t="n">
        <f aca="false">SUM(E245:P245)</f>
        <v>0</v>
      </c>
      <c r="D245" s="66" t="n">
        <f aca="false">SUM(Q245:AB245)</f>
        <v>1955</v>
      </c>
      <c r="E245" s="67" t="n">
        <f aca="false">IF(E$5="A",0,IF((Project_Register!$AA$20-Project_Register!$X$20)&lt;=0,0,IF(1-Project_Register!$AC$20&lt;=0.000001,IF(Assumptions!E$99=Assumptions!$C$10+1,(Project_Register!$AA$20-Project_Register!$X$20),0),(Project_Register!$AA$20-Project_Register!$X$20)*(E243-E244)/(1-Project_Register!$AC$20))))</f>
        <v>0</v>
      </c>
      <c r="F245" s="67" t="n">
        <f aca="false">IF(F$5="A",0,IF((Project_Register!$AA$20-Project_Register!$X$20)&lt;=0,0,IF(1-Project_Register!$AC$20&lt;=0.000001,IF(Assumptions!F$99=Assumptions!$C$10+1,(Project_Register!$AA$20-Project_Register!$X$20),0),(Project_Register!$AA$20-Project_Register!$X$20)*(F243-F244)/(1-Project_Register!$AC$20))))</f>
        <v>0</v>
      </c>
      <c r="G245" s="67" t="n">
        <f aca="false">IF(G$5="A",0,IF((Project_Register!$AA$20-Project_Register!$X$20)&lt;=0,0,IF(1-Project_Register!$AC$20&lt;=0.000001,IF(Assumptions!G$99=Assumptions!$C$10+1,(Project_Register!$AA$20-Project_Register!$X$20),0),(Project_Register!$AA$20-Project_Register!$X$20)*(G243-G244)/(1-Project_Register!$AC$20))))</f>
        <v>0</v>
      </c>
      <c r="H245" s="67" t="n">
        <f aca="false">IF(H$5="A",0,IF((Project_Register!$AA$20-Project_Register!$X$20)&lt;=0,0,IF(1-Project_Register!$AC$20&lt;=0.000001,IF(Assumptions!H$99=Assumptions!$C$10+1,(Project_Register!$AA$20-Project_Register!$X$20),0),(Project_Register!$AA$20-Project_Register!$X$20)*(H243-H244)/(1-Project_Register!$AC$20))))</f>
        <v>0</v>
      </c>
      <c r="I245" s="67" t="n">
        <f aca="false">IF(I$5="A",0,IF((Project_Register!$AA$20-Project_Register!$X$20)&lt;=0,0,IF(1-Project_Register!$AC$20&lt;=0.000001,IF(Assumptions!I$99=Assumptions!$C$10+1,(Project_Register!$AA$20-Project_Register!$X$20),0),(Project_Register!$AA$20-Project_Register!$X$20)*(I243-I244)/(1-Project_Register!$AC$20))))</f>
        <v>0</v>
      </c>
      <c r="J245" s="67" t="n">
        <f aca="false">IF(J$5="A",0,IF((Project_Register!$AA$20-Project_Register!$X$20)&lt;=0,0,IF(1-Project_Register!$AC$20&lt;=0.000001,IF(Assumptions!J$99=Assumptions!$C$10+1,(Project_Register!$AA$20-Project_Register!$X$20),0),(Project_Register!$AA$20-Project_Register!$X$20)*(J243-J244)/(1-Project_Register!$AC$20))))</f>
        <v>0</v>
      </c>
      <c r="K245" s="67" t="n">
        <f aca="false">IF(K$5="A",0,IF((Project_Register!$AA$20-Project_Register!$X$20)&lt;=0,0,IF(1-Project_Register!$AC$20&lt;=0.000001,IF(Assumptions!K$99=Assumptions!$C$10+1,(Project_Register!$AA$20-Project_Register!$X$20),0),(Project_Register!$AA$20-Project_Register!$X$20)*(K243-K244)/(1-Project_Register!$AC$20))))</f>
        <v>0</v>
      </c>
      <c r="L245" s="67" t="n">
        <f aca="false">IF(L$5="A",0,IF((Project_Register!$AA$20-Project_Register!$X$20)&lt;=0,0,IF(1-Project_Register!$AC$20&lt;=0.000001,IF(Assumptions!L$99=Assumptions!$C$10+1,(Project_Register!$AA$20-Project_Register!$X$20),0),(Project_Register!$AA$20-Project_Register!$X$20)*(L243-L244)/(1-Project_Register!$AC$20))))</f>
        <v>0</v>
      </c>
      <c r="M245" s="67" t="n">
        <f aca="false">IF(M$5="A",0,IF((Project_Register!$AA$20-Project_Register!$X$20)&lt;=0,0,IF(1-Project_Register!$AC$20&lt;=0.000001,IF(Assumptions!M$99=Assumptions!$C$10+1,(Project_Register!$AA$20-Project_Register!$X$20),0),(Project_Register!$AA$20-Project_Register!$X$20)*(M243-M244)/(1-Project_Register!$AC$20))))</f>
        <v>0</v>
      </c>
      <c r="N245" s="67" t="n">
        <f aca="false">IF(N$5="A",0,IF((Project_Register!$AA$20-Project_Register!$X$20)&lt;=0,0,IF(1-Project_Register!$AC$20&lt;=0.000001,IF(Assumptions!N$99=Assumptions!$C$10+1,(Project_Register!$AA$20-Project_Register!$X$20),0),(Project_Register!$AA$20-Project_Register!$X$20)*(N243-N244)/(1-Project_Register!$AC$20))))</f>
        <v>0</v>
      </c>
      <c r="O245" s="67" t="n">
        <f aca="false">IF(O$5="A",0,IF((Project_Register!$AA$20-Project_Register!$X$20)&lt;=0,0,IF(1-Project_Register!$AC$20&lt;=0.000001,IF(Assumptions!O$99=Assumptions!$C$10+1,(Project_Register!$AA$20-Project_Register!$X$20),0),(Project_Register!$AA$20-Project_Register!$X$20)*(O243-O244)/(1-Project_Register!$AC$20))))</f>
        <v>0</v>
      </c>
      <c r="P245" s="67" t="n">
        <f aca="false">IF(P$5="A",0,IF((Project_Register!$AA$20-Project_Register!$X$20)&lt;=0,0,IF(1-Project_Register!$AC$20&lt;=0.000001,IF(Assumptions!P$99=Assumptions!$C$10+1,(Project_Register!$AA$20-Project_Register!$X$20),0),(Project_Register!$AA$20-Project_Register!$X$20)*(P243-P244)/(1-Project_Register!$AC$20))))</f>
        <v>0</v>
      </c>
      <c r="Q245" s="67" t="n">
        <f aca="false">IF(Q$5="A",0,IF((Project_Register!$AA$20-Project_Register!$X$20)&lt;=0,0,IF(1-Project_Register!$AC$20&lt;=0.000001,IF(Assumptions!Q$99=Assumptions!$C$10+1,(Project_Register!$AA$20-Project_Register!$X$20),0),(Project_Register!$AA$20-Project_Register!$X$20)*(Q243-Q244)/(1-Project_Register!$AC$20))))</f>
        <v>203.32</v>
      </c>
      <c r="R245" s="67" t="n">
        <f aca="false">IF(R$5="A",0,IF((Project_Register!$AA$20-Project_Register!$X$20)&lt;=0,0,IF(1-Project_Register!$AC$20&lt;=0.000001,IF(Assumptions!R$99=Assumptions!$C$10+1,(Project_Register!$AA$20-Project_Register!$X$20),0),(Project_Register!$AA$20-Project_Register!$X$20)*(R243-R244)/(1-Project_Register!$AC$20))))</f>
        <v>484.84</v>
      </c>
      <c r="S245" s="67" t="n">
        <f aca="false">IF(S$5="A",0,IF((Project_Register!$AA$20-Project_Register!$X$20)&lt;=0,0,IF(1-Project_Register!$AC$20&lt;=0.000001,IF(Assumptions!S$99=Assumptions!$C$10+1,(Project_Register!$AA$20-Project_Register!$X$20),0),(Project_Register!$AA$20-Project_Register!$X$20)*(S243-S244)/(1-Project_Register!$AC$20))))</f>
        <v>578.68</v>
      </c>
      <c r="T245" s="67" t="n">
        <f aca="false">IF(T$5="A",0,IF((Project_Register!$AA$20-Project_Register!$X$20)&lt;=0,0,IF(1-Project_Register!$AC$20&lt;=0.000001,IF(Assumptions!T$99=Assumptions!$C$10+1,(Project_Register!$AA$20-Project_Register!$X$20),0),(Project_Register!$AA$20-Project_Register!$X$20)*(T243-T244)/(1-Project_Register!$AC$20))))</f>
        <v>484.84</v>
      </c>
      <c r="U245" s="67" t="n">
        <f aca="false">IF(U$5="A",0,IF((Project_Register!$AA$20-Project_Register!$X$20)&lt;=0,0,IF(1-Project_Register!$AC$20&lt;=0.000001,IF(Assumptions!U$99=Assumptions!$C$10+1,(Project_Register!$AA$20-Project_Register!$X$20),0),(Project_Register!$AA$20-Project_Register!$X$20)*(U243-U244)/(1-Project_Register!$AC$20))))</f>
        <v>203.32</v>
      </c>
      <c r="V245" s="67" t="n">
        <f aca="false">IF(V$5="A",0,IF((Project_Register!$AA$20-Project_Register!$X$20)&lt;=0,0,IF(1-Project_Register!$AC$20&lt;=0.000001,IF(Assumptions!V$99=Assumptions!$C$10+1,(Project_Register!$AA$20-Project_Register!$X$20),0),(Project_Register!$AA$20-Project_Register!$X$20)*(V243-V244)/(1-Project_Register!$AC$20))))</f>
        <v>0</v>
      </c>
      <c r="W245" s="67" t="n">
        <f aca="false">IF(W$5="A",0,IF((Project_Register!$AA$20-Project_Register!$X$20)&lt;=0,0,IF(1-Project_Register!$AC$20&lt;=0.000001,IF(Assumptions!W$99=Assumptions!$C$10+1,(Project_Register!$AA$20-Project_Register!$X$20),0),(Project_Register!$AA$20-Project_Register!$X$20)*(W243-W244)/(1-Project_Register!$AC$20))))</f>
        <v>0</v>
      </c>
      <c r="X245" s="67" t="n">
        <f aca="false">IF(X$5="A",0,IF((Project_Register!$AA$20-Project_Register!$X$20)&lt;=0,0,IF(1-Project_Register!$AC$20&lt;=0.000001,IF(Assumptions!X$99=Assumptions!$C$10+1,(Project_Register!$AA$20-Project_Register!$X$20),0),(Project_Register!$AA$20-Project_Register!$X$20)*(X243-X244)/(1-Project_Register!$AC$20))))</f>
        <v>0</v>
      </c>
      <c r="Y245" s="67" t="n">
        <f aca="false">IF(Y$5="A",0,IF((Project_Register!$AA$20-Project_Register!$X$20)&lt;=0,0,IF(1-Project_Register!$AC$20&lt;=0.000001,IF(Assumptions!Y$99=Assumptions!$C$10+1,(Project_Register!$AA$20-Project_Register!$X$20),0),(Project_Register!$AA$20-Project_Register!$X$20)*(Y243-Y244)/(1-Project_Register!$AC$20))))</f>
        <v>0</v>
      </c>
      <c r="Z245" s="67" t="n">
        <f aca="false">IF(Z$5="A",0,IF((Project_Register!$AA$20-Project_Register!$X$20)&lt;=0,0,IF(1-Project_Register!$AC$20&lt;=0.000001,IF(Assumptions!Z$99=Assumptions!$C$10+1,(Project_Register!$AA$20-Project_Register!$X$20),0),(Project_Register!$AA$20-Project_Register!$X$20)*(Z243-Z244)/(1-Project_Register!$AC$20))))</f>
        <v>0</v>
      </c>
      <c r="AA245" s="67" t="n">
        <f aca="false">IF(AA$5="A",0,IF((Project_Register!$AA$20-Project_Register!$X$20)&lt;=0,0,IF(1-Project_Register!$AC$20&lt;=0.000001,IF(Assumptions!AA$99=Assumptions!$C$10+1,(Project_Register!$AA$20-Project_Register!$X$20),0),(Project_Register!$AA$20-Project_Register!$X$20)*(AA243-AA244)/(1-Project_Register!$AC$20))))</f>
        <v>0</v>
      </c>
      <c r="AB245" s="67" t="n">
        <f aca="false">IF(AB$5="A",0,IF((Project_Register!$AA$20-Project_Register!$X$20)&lt;=0,0,IF(1-Project_Register!$AC$20&lt;=0.000001,IF(Assumptions!AB$99=Assumptions!$C$10+1,(Project_Register!$AA$20-Project_Register!$X$20),0),(Project_Register!$AA$20-Project_Register!$X$20)*(AB243-AB244)/(1-Project_Register!$AC$20))))</f>
        <v>0</v>
      </c>
    </row>
    <row r="246" customFormat="false" ht="15" hidden="false" customHeight="false" outlineLevel="0" collapsed="false">
      <c r="A246" s="28" t="s">
        <v>911</v>
      </c>
      <c r="B246" s="58" t="s">
        <v>912</v>
      </c>
      <c r="C246" s="66" t="n">
        <f aca="false">P246</f>
        <v>0</v>
      </c>
      <c r="D246" s="66" t="n">
        <f aca="false">AB246</f>
        <v>1955</v>
      </c>
      <c r="E246" s="67" t="n">
        <f aca="false">Project_Register!$P$20+E245</f>
        <v>0</v>
      </c>
      <c r="F246" s="72" t="n">
        <f aca="false">E246+F245</f>
        <v>0</v>
      </c>
      <c r="G246" s="72" t="n">
        <f aca="false">F246+G245</f>
        <v>0</v>
      </c>
      <c r="H246" s="72" t="n">
        <f aca="false">G246+H245</f>
        <v>0</v>
      </c>
      <c r="I246" s="72" t="n">
        <f aca="false">H246+I245</f>
        <v>0</v>
      </c>
      <c r="J246" s="72" t="n">
        <f aca="false">I246+J245</f>
        <v>0</v>
      </c>
      <c r="K246" s="72" t="n">
        <f aca="false">J246+K245</f>
        <v>0</v>
      </c>
      <c r="L246" s="72" t="n">
        <f aca="false">K246+L245</f>
        <v>0</v>
      </c>
      <c r="M246" s="72" t="n">
        <f aca="false">L246+M245</f>
        <v>0</v>
      </c>
      <c r="N246" s="72" t="n">
        <f aca="false">M246+N245</f>
        <v>0</v>
      </c>
      <c r="O246" s="72" t="n">
        <f aca="false">N246+O245</f>
        <v>0</v>
      </c>
      <c r="P246" s="72" t="n">
        <f aca="false">O246+P245</f>
        <v>0</v>
      </c>
      <c r="Q246" s="72" t="n">
        <f aca="false">P246+Q245</f>
        <v>203.32</v>
      </c>
      <c r="R246" s="72" t="n">
        <f aca="false">Q246+R245</f>
        <v>688.16</v>
      </c>
      <c r="S246" s="72" t="n">
        <f aca="false">R246+S245</f>
        <v>1266.84</v>
      </c>
      <c r="T246" s="72" t="n">
        <f aca="false">S246+T245</f>
        <v>1751.68</v>
      </c>
      <c r="U246" s="72" t="n">
        <f aca="false">T246+U245</f>
        <v>1955</v>
      </c>
      <c r="V246" s="72" t="n">
        <f aca="false">U246+V245</f>
        <v>1955</v>
      </c>
      <c r="W246" s="72" t="n">
        <f aca="false">V246+W245</f>
        <v>1955</v>
      </c>
      <c r="X246" s="72" t="n">
        <f aca="false">W246+X245</f>
        <v>1955</v>
      </c>
      <c r="Y246" s="72" t="n">
        <f aca="false">X246+Y245</f>
        <v>1955</v>
      </c>
      <c r="Z246" s="72" t="n">
        <f aca="false">Y246+Z245</f>
        <v>1955</v>
      </c>
      <c r="AA246" s="72" t="n">
        <f aca="false">Z246+AA245</f>
        <v>1955</v>
      </c>
      <c r="AB246" s="72" t="n">
        <f aca="false">AA246+AB245</f>
        <v>1955</v>
      </c>
    </row>
    <row r="247" customFormat="false" ht="15" hidden="false" customHeight="false" outlineLevel="0" collapsed="false">
      <c r="A247" s="28" t="s">
        <v>913</v>
      </c>
      <c r="B247" s="58" t="s">
        <v>914</v>
      </c>
      <c r="C247" s="66" t="n">
        <f aca="false">P247</f>
        <v>1955</v>
      </c>
      <c r="D247" s="66" t="n">
        <f aca="false">AB247</f>
        <v>1955</v>
      </c>
      <c r="E247" s="67" t="n">
        <f aca="false">IF(E$5="A",Project_Register!$AA$20,Project_Register!$AA$20)</f>
        <v>1955</v>
      </c>
      <c r="F247" s="67" t="n">
        <f aca="false">IF(F$5="A",Project_Register!$AA$20,Project_Register!$AA$20)</f>
        <v>1955</v>
      </c>
      <c r="G247" s="67" t="n">
        <f aca="false">IF(G$5="A",Project_Register!$AA$20,Project_Register!$AA$20)</f>
        <v>1955</v>
      </c>
      <c r="H247" s="67" t="n">
        <f aca="false">IF(H$5="A",Project_Register!$AA$20,Project_Register!$AA$20)</f>
        <v>1955</v>
      </c>
      <c r="I247" s="67" t="n">
        <f aca="false">IF(I$5="A",Project_Register!$AA$20,Project_Register!$AA$20)</f>
        <v>1955</v>
      </c>
      <c r="J247" s="67" t="n">
        <f aca="false">IF(J$5="A",Project_Register!$AA$20,Project_Register!$AA$20)</f>
        <v>1955</v>
      </c>
      <c r="K247" s="67" t="n">
        <f aca="false">IF(K$5="A",Project_Register!$AA$20,Project_Register!$AA$20)</f>
        <v>1955</v>
      </c>
      <c r="L247" s="67" t="n">
        <f aca="false">IF(L$5="A",Project_Register!$AA$20,Project_Register!$AA$20)</f>
        <v>1955</v>
      </c>
      <c r="M247" s="67" t="n">
        <f aca="false">IF(M$5="A",Project_Register!$AA$20,Project_Register!$AA$20)</f>
        <v>1955</v>
      </c>
      <c r="N247" s="67" t="n">
        <f aca="false">IF(N$5="A",Project_Register!$AA$20,Project_Register!$AA$20)</f>
        <v>1955</v>
      </c>
      <c r="O247" s="67" t="n">
        <f aca="false">IF(O$5="A",Project_Register!$AA$20,Project_Register!$AA$20)</f>
        <v>1955</v>
      </c>
      <c r="P247" s="67" t="n">
        <f aca="false">IF(P$5="A",Project_Register!$AA$20,Project_Register!$AA$20)</f>
        <v>1955</v>
      </c>
      <c r="Q247" s="67" t="n">
        <f aca="false">IF(Q$5="A",Project_Register!$AA$20,Project_Register!$AA$20)</f>
        <v>1955</v>
      </c>
      <c r="R247" s="67" t="n">
        <f aca="false">IF(R$5="A",Project_Register!$AA$20,Project_Register!$AA$20)</f>
        <v>1955</v>
      </c>
      <c r="S247" s="67" t="n">
        <f aca="false">IF(S$5="A",Project_Register!$AA$20,Project_Register!$AA$20)</f>
        <v>1955</v>
      </c>
      <c r="T247" s="67" t="n">
        <f aca="false">IF(T$5="A",Project_Register!$AA$20,Project_Register!$AA$20)</f>
        <v>1955</v>
      </c>
      <c r="U247" s="67" t="n">
        <f aca="false">IF(U$5="A",Project_Register!$AA$20,Project_Register!$AA$20)</f>
        <v>1955</v>
      </c>
      <c r="V247" s="67" t="n">
        <f aca="false">IF(V$5="A",Project_Register!$AA$20,Project_Register!$AA$20)</f>
        <v>1955</v>
      </c>
      <c r="W247" s="67" t="n">
        <f aca="false">IF(W$5="A",Project_Register!$AA$20,Project_Register!$AA$20)</f>
        <v>1955</v>
      </c>
      <c r="X247" s="67" t="n">
        <f aca="false">IF(X$5="A",Project_Register!$AA$20,Project_Register!$AA$20)</f>
        <v>1955</v>
      </c>
      <c r="Y247" s="67" t="n">
        <f aca="false">IF(Y$5="A",Project_Register!$AA$20,Project_Register!$AA$20)</f>
        <v>1955</v>
      </c>
      <c r="Z247" s="67" t="n">
        <f aca="false">IF(Z$5="A",Project_Register!$AA$20,Project_Register!$AA$20)</f>
        <v>1955</v>
      </c>
      <c r="AA247" s="67" t="n">
        <f aca="false">IF(AA$5="A",Project_Register!$AA$20,Project_Register!$AA$20)</f>
        <v>1955</v>
      </c>
      <c r="AB247" s="67" t="n">
        <f aca="false">IF(AB$5="A",Project_Register!$AA$20,Project_Register!$AA$20)</f>
        <v>1955</v>
      </c>
    </row>
    <row r="248" customFormat="false" ht="15" hidden="false" customHeight="false" outlineLevel="0" collapsed="false">
      <c r="A248" s="28" t="s">
        <v>915</v>
      </c>
      <c r="B248" s="58" t="s">
        <v>916</v>
      </c>
      <c r="C248" s="61" t="n">
        <f aca="false">P248</f>
        <v>0</v>
      </c>
      <c r="D248" s="61" t="n">
        <f aca="false">AB248</f>
        <v>1</v>
      </c>
      <c r="E248" s="62" t="n">
        <f aca="false">IF(E247&lt;=0,0,MIN(1,E246/E247))</f>
        <v>0</v>
      </c>
      <c r="F248" s="62" t="n">
        <f aca="false">IF(F247&lt;=0,0,MIN(1,F246/F247))</f>
        <v>0</v>
      </c>
      <c r="G248" s="62" t="n">
        <f aca="false">IF(G247&lt;=0,0,MIN(1,G246/G247))</f>
        <v>0</v>
      </c>
      <c r="H248" s="62" t="n">
        <f aca="false">IF(H247&lt;=0,0,MIN(1,H246/H247))</f>
        <v>0</v>
      </c>
      <c r="I248" s="62" t="n">
        <f aca="false">IF(I247&lt;=0,0,MIN(1,I246/I247))</f>
        <v>0</v>
      </c>
      <c r="J248" s="62" t="n">
        <f aca="false">IF(J247&lt;=0,0,MIN(1,J246/J247))</f>
        <v>0</v>
      </c>
      <c r="K248" s="62" t="n">
        <f aca="false">IF(K247&lt;=0,0,MIN(1,K246/K247))</f>
        <v>0</v>
      </c>
      <c r="L248" s="62" t="n">
        <f aca="false">IF(L247&lt;=0,0,MIN(1,L246/L247))</f>
        <v>0</v>
      </c>
      <c r="M248" s="62" t="n">
        <f aca="false">IF(M247&lt;=0,0,MIN(1,M246/M247))</f>
        <v>0</v>
      </c>
      <c r="N248" s="62" t="n">
        <f aca="false">IF(N247&lt;=0,0,MIN(1,N246/N247))</f>
        <v>0</v>
      </c>
      <c r="O248" s="62" t="n">
        <f aca="false">IF(O247&lt;=0,0,MIN(1,O246/O247))</f>
        <v>0</v>
      </c>
      <c r="P248" s="62" t="n">
        <f aca="false">IF(P247&lt;=0,0,MIN(1,P246/P247))</f>
        <v>0</v>
      </c>
      <c r="Q248" s="62" t="n">
        <f aca="false">IF(Q247&lt;=0,0,MIN(1,Q246/Q247))</f>
        <v>0.104</v>
      </c>
      <c r="R248" s="62" t="n">
        <f aca="false">IF(R247&lt;=0,0,MIN(1,R246/R247))</f>
        <v>0.352</v>
      </c>
      <c r="S248" s="62" t="n">
        <f aca="false">IF(S247&lt;=0,0,MIN(1,S246/S247))</f>
        <v>0.648</v>
      </c>
      <c r="T248" s="62" t="n">
        <f aca="false">IF(T247&lt;=0,0,MIN(1,T246/T247))</f>
        <v>0.896</v>
      </c>
      <c r="U248" s="62" t="n">
        <f aca="false">IF(U247&lt;=0,0,MIN(1,U246/U247))</f>
        <v>1</v>
      </c>
      <c r="V248" s="62" t="n">
        <f aca="false">IF(V247&lt;=0,0,MIN(1,V246/V247))</f>
        <v>1</v>
      </c>
      <c r="W248" s="62" t="n">
        <f aca="false">IF(W247&lt;=0,0,MIN(1,W246/W247))</f>
        <v>1</v>
      </c>
      <c r="X248" s="62" t="n">
        <f aca="false">IF(X247&lt;=0,0,MIN(1,X246/X247))</f>
        <v>1</v>
      </c>
      <c r="Y248" s="62" t="n">
        <f aca="false">IF(Y247&lt;=0,0,MIN(1,Y246/Y247))</f>
        <v>1</v>
      </c>
      <c r="Z248" s="62" t="n">
        <f aca="false">IF(Z247&lt;=0,0,MIN(1,Z246/Z247))</f>
        <v>1</v>
      </c>
      <c r="AA248" s="62" t="n">
        <f aca="false">IF(AA247&lt;=0,0,MIN(1,AA246/AA247))</f>
        <v>1</v>
      </c>
      <c r="AB248" s="62" t="n">
        <f aca="false">IF(AB247&lt;=0,0,MIN(1,AB246/AB247))</f>
        <v>1</v>
      </c>
    </row>
    <row r="249" customFormat="false" ht="15" hidden="false" customHeight="false" outlineLevel="0" collapsed="false">
      <c r="A249" s="28" t="s">
        <v>917</v>
      </c>
      <c r="B249" s="58" t="s">
        <v>918</v>
      </c>
      <c r="C249" s="59" t="n">
        <f aca="false">P249</f>
        <v>204000</v>
      </c>
      <c r="D249" s="59" t="n">
        <f aca="false">AB249</f>
        <v>204000</v>
      </c>
      <c r="E249" s="60" t="n">
        <f aca="false">IF(E$5="A",0,Project_Register!$W$20)</f>
        <v>0</v>
      </c>
      <c r="F249" s="60" t="n">
        <f aca="false">IF(F$5="A",0,Project_Register!$W$20)</f>
        <v>0</v>
      </c>
      <c r="G249" s="60" t="n">
        <f aca="false">IF(G$5="A",0,Project_Register!$W$20)</f>
        <v>0</v>
      </c>
      <c r="H249" s="60" t="n">
        <f aca="false">IF(H$5="A",0,Project_Register!$W$20)</f>
        <v>0</v>
      </c>
      <c r="I249" s="60" t="n">
        <f aca="false">IF(I$5="A",0,Project_Register!$W$20)</f>
        <v>0</v>
      </c>
      <c r="J249" s="60" t="n">
        <f aca="false">IF(J$5="A",0,Project_Register!$W$20)</f>
        <v>0</v>
      </c>
      <c r="K249" s="60" t="n">
        <f aca="false">IF(K$5="A",0,Project_Register!$W$20)</f>
        <v>0</v>
      </c>
      <c r="L249" s="60" t="n">
        <f aca="false">IF(L$5="A",0,Project_Register!$W$20)</f>
        <v>0</v>
      </c>
      <c r="M249" s="60" t="n">
        <f aca="false">IF(M$5="A",0,Project_Register!$W$20)</f>
        <v>204000</v>
      </c>
      <c r="N249" s="60" t="n">
        <f aca="false">IF(N$5="A",0,Project_Register!$W$20)</f>
        <v>204000</v>
      </c>
      <c r="O249" s="60" t="n">
        <f aca="false">IF(O$5="A",0,Project_Register!$W$20)</f>
        <v>204000</v>
      </c>
      <c r="P249" s="60" t="n">
        <f aca="false">IF(P$5="A",0,Project_Register!$W$20)</f>
        <v>204000</v>
      </c>
      <c r="Q249" s="60" t="n">
        <f aca="false">IF(Q$5="A",0,Project_Register!$W$20)</f>
        <v>204000</v>
      </c>
      <c r="R249" s="60" t="n">
        <f aca="false">IF(R$5="A",0,Project_Register!$W$20)</f>
        <v>204000</v>
      </c>
      <c r="S249" s="60" t="n">
        <f aca="false">IF(S$5="A",0,Project_Register!$W$20)</f>
        <v>204000</v>
      </c>
      <c r="T249" s="60" t="n">
        <f aca="false">IF(T$5="A",0,Project_Register!$W$20)</f>
        <v>204000</v>
      </c>
      <c r="U249" s="60" t="n">
        <f aca="false">IF(U$5="A",0,Project_Register!$W$20)</f>
        <v>204000</v>
      </c>
      <c r="V249" s="60" t="n">
        <f aca="false">IF(V$5="A",0,Project_Register!$W$20)</f>
        <v>204000</v>
      </c>
      <c r="W249" s="60" t="n">
        <f aca="false">IF(W$5="A",0,Project_Register!$W$20)</f>
        <v>204000</v>
      </c>
      <c r="X249" s="60" t="n">
        <f aca="false">IF(X$5="A",0,Project_Register!$W$20)</f>
        <v>204000</v>
      </c>
      <c r="Y249" s="60" t="n">
        <f aca="false">IF(Y$5="A",0,Project_Register!$W$20)</f>
        <v>204000</v>
      </c>
      <c r="Z249" s="60" t="n">
        <f aca="false">IF(Z$5="A",0,Project_Register!$W$20)</f>
        <v>204000</v>
      </c>
      <c r="AA249" s="60" t="n">
        <f aca="false">IF(AA$5="A",0,Project_Register!$W$20)</f>
        <v>204000</v>
      </c>
      <c r="AB249" s="60" t="n">
        <f aca="false">IF(AB$5="A",0,Project_Register!$W$20)</f>
        <v>204000</v>
      </c>
    </row>
    <row r="250" customFormat="false" ht="15" hidden="false" customHeight="false" outlineLevel="0" collapsed="false">
      <c r="A250" s="28" t="s">
        <v>919</v>
      </c>
      <c r="B250" s="58" t="s">
        <v>920</v>
      </c>
      <c r="C250" s="59" t="n">
        <f aca="false">P250</f>
        <v>0</v>
      </c>
      <c r="D250" s="59" t="n">
        <f aca="false">AB250</f>
        <v>204000</v>
      </c>
      <c r="E250" s="60" t="n">
        <f aca="false">IF(E$5="A",Project_Register!$Q$20+0,E248*E249)</f>
        <v>0</v>
      </c>
      <c r="F250" s="71" t="n">
        <f aca="false">IF(F$5="A",E250+0,F248*F249)</f>
        <v>0</v>
      </c>
      <c r="G250" s="71" t="n">
        <f aca="false">IF(G$5="A",F250+0,G248*G249)</f>
        <v>0</v>
      </c>
      <c r="H250" s="71" t="n">
        <f aca="false">IF(H$5="A",G250+0,H248*H249)</f>
        <v>0</v>
      </c>
      <c r="I250" s="71" t="n">
        <f aca="false">IF(I$5="A",H250+0,I248*I249)</f>
        <v>0</v>
      </c>
      <c r="J250" s="71" t="n">
        <f aca="false">IF(J$5="A",I250+0,J248*J249)</f>
        <v>0</v>
      </c>
      <c r="K250" s="71" t="n">
        <f aca="false">IF(K$5="A",J250+0,K248*K249)</f>
        <v>0</v>
      </c>
      <c r="L250" s="71" t="n">
        <f aca="false">IF(L$5="A",K250+0,L248*L249)</f>
        <v>0</v>
      </c>
      <c r="M250" s="71" t="n">
        <f aca="false">IF(M$5="A",L250+0,M248*M249)</f>
        <v>0</v>
      </c>
      <c r="N250" s="71" t="n">
        <f aca="false">IF(N$5="A",M250+0,N248*N249)</f>
        <v>0</v>
      </c>
      <c r="O250" s="71" t="n">
        <f aca="false">IF(O$5="A",N250+0,O248*O249)</f>
        <v>0</v>
      </c>
      <c r="P250" s="71" t="n">
        <f aca="false">IF(P$5="A",O250+0,P248*P249)</f>
        <v>0</v>
      </c>
      <c r="Q250" s="71" t="n">
        <f aca="false">IF(Q$5="A",P250+0,Q248*Q249)</f>
        <v>21216</v>
      </c>
      <c r="R250" s="71" t="n">
        <f aca="false">IF(R$5="A",Q250+0,R248*R249)</f>
        <v>71808</v>
      </c>
      <c r="S250" s="71" t="n">
        <f aca="false">IF(S$5="A",R250+0,S248*S249)</f>
        <v>132192</v>
      </c>
      <c r="T250" s="71" t="n">
        <f aca="false">IF(T$5="A",S250+0,T248*T249)</f>
        <v>182784</v>
      </c>
      <c r="U250" s="71" t="n">
        <f aca="false">IF(U$5="A",T250+0,U248*U249)</f>
        <v>204000</v>
      </c>
      <c r="V250" s="71" t="n">
        <f aca="false">IF(V$5="A",U250+0,V248*V249)</f>
        <v>204000</v>
      </c>
      <c r="W250" s="71" t="n">
        <f aca="false">IF(W$5="A",V250+0,W248*W249)</f>
        <v>204000</v>
      </c>
      <c r="X250" s="71" t="n">
        <f aca="false">IF(X$5="A",W250+0,X248*X249)</f>
        <v>204000</v>
      </c>
      <c r="Y250" s="71" t="n">
        <f aca="false">IF(Y$5="A",X250+0,Y248*Y249)</f>
        <v>204000</v>
      </c>
      <c r="Z250" s="71" t="n">
        <f aca="false">IF(Z$5="A",Y250+0,Z248*Z249)</f>
        <v>204000</v>
      </c>
      <c r="AA250" s="71" t="n">
        <f aca="false">IF(AA$5="A",Z250+0,AA248*AA249)</f>
        <v>204000</v>
      </c>
      <c r="AB250" s="71" t="n">
        <f aca="false">IF(AB$5="A",AA250+0,AB248*AB249)</f>
        <v>204000</v>
      </c>
    </row>
    <row r="251" customFormat="false" ht="15" hidden="false" customHeight="false" outlineLevel="0" collapsed="false">
      <c r="A251" s="68" t="s">
        <v>921</v>
      </c>
      <c r="B251" s="69" t="s">
        <v>922</v>
      </c>
      <c r="C251" s="70" t="n">
        <f aca="false">SUM(E251:P251)</f>
        <v>0</v>
      </c>
      <c r="D251" s="70" t="n">
        <f aca="false">SUM(Q251:AB251)</f>
        <v>204000</v>
      </c>
      <c r="E251" s="74" t="n">
        <f aca="false">E250-Project_Register!$Q$20</f>
        <v>0</v>
      </c>
      <c r="F251" s="70" t="n">
        <f aca="false">F250-E250</f>
        <v>0</v>
      </c>
      <c r="G251" s="70" t="n">
        <f aca="false">G250-F250</f>
        <v>0</v>
      </c>
      <c r="H251" s="70" t="n">
        <f aca="false">H250-G250</f>
        <v>0</v>
      </c>
      <c r="I251" s="70" t="n">
        <f aca="false">I250-H250</f>
        <v>0</v>
      </c>
      <c r="J251" s="70" t="n">
        <f aca="false">J250-I250</f>
        <v>0</v>
      </c>
      <c r="K251" s="70" t="n">
        <f aca="false">K250-J250</f>
        <v>0</v>
      </c>
      <c r="L251" s="70" t="n">
        <f aca="false">L250-K250</f>
        <v>0</v>
      </c>
      <c r="M251" s="70" t="n">
        <f aca="false">M250-L250</f>
        <v>0</v>
      </c>
      <c r="N251" s="70" t="n">
        <f aca="false">N250-M250</f>
        <v>0</v>
      </c>
      <c r="O251" s="70" t="n">
        <f aca="false">O250-N250</f>
        <v>0</v>
      </c>
      <c r="P251" s="70" t="n">
        <f aca="false">P250-O250</f>
        <v>0</v>
      </c>
      <c r="Q251" s="70" t="n">
        <f aca="false">Q250-P250</f>
        <v>21216</v>
      </c>
      <c r="R251" s="70" t="n">
        <f aca="false">R250-Q250</f>
        <v>50592</v>
      </c>
      <c r="S251" s="70" t="n">
        <f aca="false">S250-R250</f>
        <v>60384</v>
      </c>
      <c r="T251" s="70" t="n">
        <f aca="false">T250-S250</f>
        <v>50592</v>
      </c>
      <c r="U251" s="70" t="n">
        <f aca="false">U250-T250</f>
        <v>21216</v>
      </c>
      <c r="V251" s="70" t="n">
        <f aca="false">V250-U250</f>
        <v>0</v>
      </c>
      <c r="W251" s="70" t="n">
        <f aca="false">W250-V250</f>
        <v>0</v>
      </c>
      <c r="X251" s="70" t="n">
        <f aca="false">X250-W250</f>
        <v>0</v>
      </c>
      <c r="Y251" s="70" t="n">
        <f aca="false">Y250-X250</f>
        <v>0</v>
      </c>
      <c r="Z251" s="70" t="n">
        <f aca="false">Z250-Y250</f>
        <v>0</v>
      </c>
      <c r="AA251" s="70" t="n">
        <f aca="false">AA250-Z250</f>
        <v>0</v>
      </c>
      <c r="AB251" s="70" t="n">
        <f aca="false">AB250-AA250</f>
        <v>0</v>
      </c>
    </row>
    <row r="252" customFormat="false" ht="15" hidden="false" customHeight="false" outlineLevel="0" collapsed="false">
      <c r="A252" s="28" t="s">
        <v>923</v>
      </c>
      <c r="B252" s="58" t="s">
        <v>924</v>
      </c>
      <c r="C252" s="59" t="n">
        <f aca="false">P252</f>
        <v>0</v>
      </c>
      <c r="D252" s="59" t="n">
        <f aca="false">AB252</f>
        <v>204000</v>
      </c>
      <c r="E252" s="60" t="n">
        <f aca="false">E249*(Assumptions!$C$71*(Assumptions!E$99&gt;=Project_Register!$T$20)+Assumptions!$C$72*(Assumptions!E$99&gt;=Project_Register!$V$20)+Assumptions!$C$73*(Assumptions!E$99&gt;=Project_Register!$U$20))</f>
        <v>0</v>
      </c>
      <c r="F252" s="60" t="n">
        <f aca="false">F249*(Assumptions!$C$71*(Assumptions!F$99&gt;=Project_Register!$T$20)+Assumptions!$C$72*(Assumptions!F$99&gt;=Project_Register!$V$20)+Assumptions!$C$73*(Assumptions!F$99&gt;=Project_Register!$U$20))</f>
        <v>0</v>
      </c>
      <c r="G252" s="60" t="n">
        <f aca="false">G249*(Assumptions!$C$71*(Assumptions!G$99&gt;=Project_Register!$T$20)+Assumptions!$C$72*(Assumptions!G$99&gt;=Project_Register!$V$20)+Assumptions!$C$73*(Assumptions!G$99&gt;=Project_Register!$U$20))</f>
        <v>0</v>
      </c>
      <c r="H252" s="60" t="n">
        <f aca="false">H249*(Assumptions!$C$71*(Assumptions!H$99&gt;=Project_Register!$T$20)+Assumptions!$C$72*(Assumptions!H$99&gt;=Project_Register!$V$20)+Assumptions!$C$73*(Assumptions!H$99&gt;=Project_Register!$U$20))</f>
        <v>0</v>
      </c>
      <c r="I252" s="60" t="n">
        <f aca="false">I249*(Assumptions!$C$71*(Assumptions!I$99&gt;=Project_Register!$T$20)+Assumptions!$C$72*(Assumptions!I$99&gt;=Project_Register!$V$20)+Assumptions!$C$73*(Assumptions!I$99&gt;=Project_Register!$U$20))</f>
        <v>0</v>
      </c>
      <c r="J252" s="60" t="n">
        <f aca="false">J249*(Assumptions!$C$71*(Assumptions!J$99&gt;=Project_Register!$T$20)+Assumptions!$C$72*(Assumptions!J$99&gt;=Project_Register!$V$20)+Assumptions!$C$73*(Assumptions!J$99&gt;=Project_Register!$U$20))</f>
        <v>0</v>
      </c>
      <c r="K252" s="60" t="n">
        <f aca="false">K249*(Assumptions!$C$71*(Assumptions!K$99&gt;=Project_Register!$T$20)+Assumptions!$C$72*(Assumptions!K$99&gt;=Project_Register!$V$20)+Assumptions!$C$73*(Assumptions!K$99&gt;=Project_Register!$U$20))</f>
        <v>0</v>
      </c>
      <c r="L252" s="60" t="n">
        <f aca="false">L249*(Assumptions!$C$71*(Assumptions!L$99&gt;=Project_Register!$T$20)+Assumptions!$C$72*(Assumptions!L$99&gt;=Project_Register!$V$20)+Assumptions!$C$73*(Assumptions!L$99&gt;=Project_Register!$U$20))</f>
        <v>0</v>
      </c>
      <c r="M252" s="60" t="n">
        <f aca="false">M249*(Assumptions!$C$71*(Assumptions!M$99&gt;=Project_Register!$T$20)+Assumptions!$C$72*(Assumptions!M$99&gt;=Project_Register!$V$20)+Assumptions!$C$73*(Assumptions!M$99&gt;=Project_Register!$U$20))</f>
        <v>0</v>
      </c>
      <c r="N252" s="60" t="n">
        <f aca="false">N249*(Assumptions!$C$71*(Assumptions!N$99&gt;=Project_Register!$T$20)+Assumptions!$C$72*(Assumptions!N$99&gt;=Project_Register!$V$20)+Assumptions!$C$73*(Assumptions!N$99&gt;=Project_Register!$U$20))</f>
        <v>0</v>
      </c>
      <c r="O252" s="60" t="n">
        <f aca="false">O249*(Assumptions!$C$71*(Assumptions!O$99&gt;=Project_Register!$T$20)+Assumptions!$C$72*(Assumptions!O$99&gt;=Project_Register!$V$20)+Assumptions!$C$73*(Assumptions!O$99&gt;=Project_Register!$U$20))</f>
        <v>0</v>
      </c>
      <c r="P252" s="60" t="n">
        <f aca="false">P249*(Assumptions!$C$71*(Assumptions!P$99&gt;=Project_Register!$T$20)+Assumptions!$C$72*(Assumptions!P$99&gt;=Project_Register!$V$20)+Assumptions!$C$73*(Assumptions!P$99&gt;=Project_Register!$U$20))</f>
        <v>0</v>
      </c>
      <c r="Q252" s="60" t="n">
        <f aca="false">Q249*(Assumptions!$C$71*(Assumptions!Q$99&gt;=Project_Register!$T$20)+Assumptions!$C$72*(Assumptions!Q$99&gt;=Project_Register!$V$20)+Assumptions!$C$73*(Assumptions!Q$99&gt;=Project_Register!$U$20))</f>
        <v>61200</v>
      </c>
      <c r="R252" s="60" t="n">
        <f aca="false">R249*(Assumptions!$C$71*(Assumptions!R$99&gt;=Project_Register!$T$20)+Assumptions!$C$72*(Assumptions!R$99&gt;=Project_Register!$V$20)+Assumptions!$C$73*(Assumptions!R$99&gt;=Project_Register!$U$20))</f>
        <v>61200</v>
      </c>
      <c r="S252" s="60" t="n">
        <f aca="false">S249*(Assumptions!$C$71*(Assumptions!S$99&gt;=Project_Register!$T$20)+Assumptions!$C$72*(Assumptions!S$99&gt;=Project_Register!$V$20)+Assumptions!$C$73*(Assumptions!S$99&gt;=Project_Register!$U$20))</f>
        <v>142800</v>
      </c>
      <c r="T252" s="60" t="n">
        <f aca="false">T249*(Assumptions!$C$71*(Assumptions!T$99&gt;=Project_Register!$T$20)+Assumptions!$C$72*(Assumptions!T$99&gt;=Project_Register!$V$20)+Assumptions!$C$73*(Assumptions!T$99&gt;=Project_Register!$U$20))</f>
        <v>142800</v>
      </c>
      <c r="U252" s="60" t="n">
        <f aca="false">U249*(Assumptions!$C$71*(Assumptions!U$99&gt;=Project_Register!$T$20)+Assumptions!$C$72*(Assumptions!U$99&gt;=Project_Register!$V$20)+Assumptions!$C$73*(Assumptions!U$99&gt;=Project_Register!$U$20))</f>
        <v>204000</v>
      </c>
      <c r="V252" s="60" t="n">
        <f aca="false">V249*(Assumptions!$C$71*(Assumptions!V$99&gt;=Project_Register!$T$20)+Assumptions!$C$72*(Assumptions!V$99&gt;=Project_Register!$V$20)+Assumptions!$C$73*(Assumptions!V$99&gt;=Project_Register!$U$20))</f>
        <v>204000</v>
      </c>
      <c r="W252" s="60" t="n">
        <f aca="false">W249*(Assumptions!$C$71*(Assumptions!W$99&gt;=Project_Register!$T$20)+Assumptions!$C$72*(Assumptions!W$99&gt;=Project_Register!$V$20)+Assumptions!$C$73*(Assumptions!W$99&gt;=Project_Register!$U$20))</f>
        <v>204000</v>
      </c>
      <c r="X252" s="60" t="n">
        <f aca="false">X249*(Assumptions!$C$71*(Assumptions!X$99&gt;=Project_Register!$T$20)+Assumptions!$C$72*(Assumptions!X$99&gt;=Project_Register!$V$20)+Assumptions!$C$73*(Assumptions!X$99&gt;=Project_Register!$U$20))</f>
        <v>204000</v>
      </c>
      <c r="Y252" s="60" t="n">
        <f aca="false">Y249*(Assumptions!$C$71*(Assumptions!Y$99&gt;=Project_Register!$T$20)+Assumptions!$C$72*(Assumptions!Y$99&gt;=Project_Register!$V$20)+Assumptions!$C$73*(Assumptions!Y$99&gt;=Project_Register!$U$20))</f>
        <v>204000</v>
      </c>
      <c r="Z252" s="60" t="n">
        <f aca="false">Z249*(Assumptions!$C$71*(Assumptions!Z$99&gt;=Project_Register!$T$20)+Assumptions!$C$72*(Assumptions!Z$99&gt;=Project_Register!$V$20)+Assumptions!$C$73*(Assumptions!Z$99&gt;=Project_Register!$U$20))</f>
        <v>204000</v>
      </c>
      <c r="AA252" s="60" t="n">
        <f aca="false">AA249*(Assumptions!$C$71*(Assumptions!AA$99&gt;=Project_Register!$T$20)+Assumptions!$C$72*(Assumptions!AA$99&gt;=Project_Register!$V$20)+Assumptions!$C$73*(Assumptions!AA$99&gt;=Project_Register!$U$20))</f>
        <v>204000</v>
      </c>
      <c r="AB252" s="60" t="n">
        <f aca="false">AB249*(Assumptions!$C$71*(Assumptions!AB$99&gt;=Project_Register!$T$20)+Assumptions!$C$72*(Assumptions!AB$99&gt;=Project_Register!$V$20)+Assumptions!$C$73*(Assumptions!AB$99&gt;=Project_Register!$U$20))</f>
        <v>204000</v>
      </c>
    </row>
    <row r="253" customFormat="false" ht="15" hidden="false" customHeight="false" outlineLevel="0" collapsed="false">
      <c r="A253" s="28" t="s">
        <v>925</v>
      </c>
      <c r="B253" s="58" t="s">
        <v>926</v>
      </c>
      <c r="C253" s="59" t="n">
        <f aca="false">SUM(E253:P253)</f>
        <v>0</v>
      </c>
      <c r="D253" s="59" t="n">
        <f aca="false">SUM(Q253:AB253)</f>
        <v>204000</v>
      </c>
      <c r="E253" s="60" t="n">
        <f aca="false">IF(E$5="A",0,MAX(0,E252-Project_Register!$R$20))</f>
        <v>0</v>
      </c>
      <c r="F253" s="71" t="n">
        <f aca="false">IF(F$5="A",0,MAX(0,F252-E254))</f>
        <v>0</v>
      </c>
      <c r="G253" s="71" t="n">
        <f aca="false">IF(G$5="A",0,MAX(0,G252-F254))</f>
        <v>0</v>
      </c>
      <c r="H253" s="71" t="n">
        <f aca="false">IF(H$5="A",0,MAX(0,H252-G254))</f>
        <v>0</v>
      </c>
      <c r="I253" s="71" t="n">
        <f aca="false">IF(I$5="A",0,MAX(0,I252-H254))</f>
        <v>0</v>
      </c>
      <c r="J253" s="71" t="n">
        <f aca="false">IF(J$5="A",0,MAX(0,J252-I254))</f>
        <v>0</v>
      </c>
      <c r="K253" s="71" t="n">
        <f aca="false">IF(K$5="A",0,MAX(0,K252-J254))</f>
        <v>0</v>
      </c>
      <c r="L253" s="71" t="n">
        <f aca="false">IF(L$5="A",0,MAX(0,L252-K254))</f>
        <v>0</v>
      </c>
      <c r="M253" s="71" t="n">
        <f aca="false">IF(M$5="A",0,MAX(0,M252-L254))</f>
        <v>0</v>
      </c>
      <c r="N253" s="71" t="n">
        <f aca="false">IF(N$5="A",0,MAX(0,N252-M254))</f>
        <v>0</v>
      </c>
      <c r="O253" s="71" t="n">
        <f aca="false">IF(O$5="A",0,MAX(0,O252-N254))</f>
        <v>0</v>
      </c>
      <c r="P253" s="71" t="n">
        <f aca="false">IF(P$5="A",0,MAX(0,P252-O254))</f>
        <v>0</v>
      </c>
      <c r="Q253" s="71" t="n">
        <f aca="false">IF(Q$5="A",0,MAX(0,Q252-P254))</f>
        <v>61200</v>
      </c>
      <c r="R253" s="71" t="n">
        <f aca="false">IF(R$5="A",0,MAX(0,R252-Q254))</f>
        <v>0</v>
      </c>
      <c r="S253" s="71" t="n">
        <f aca="false">IF(S$5="A",0,MAX(0,S252-R254))</f>
        <v>81600</v>
      </c>
      <c r="T253" s="71" t="n">
        <f aca="false">IF(T$5="A",0,MAX(0,T252-S254))</f>
        <v>0</v>
      </c>
      <c r="U253" s="71" t="n">
        <f aca="false">IF(U$5="A",0,MAX(0,U252-T254))</f>
        <v>61200</v>
      </c>
      <c r="V253" s="71" t="n">
        <f aca="false">IF(V$5="A",0,MAX(0,V252-U254))</f>
        <v>0</v>
      </c>
      <c r="W253" s="71" t="n">
        <f aca="false">IF(W$5="A",0,MAX(0,W252-V254))</f>
        <v>0</v>
      </c>
      <c r="X253" s="71" t="n">
        <f aca="false">IF(X$5="A",0,MAX(0,X252-W254))</f>
        <v>0</v>
      </c>
      <c r="Y253" s="71" t="n">
        <f aca="false">IF(Y$5="A",0,MAX(0,Y252-X254))</f>
        <v>0</v>
      </c>
      <c r="Z253" s="71" t="n">
        <f aca="false">IF(Z$5="A",0,MAX(0,Z252-Y254))</f>
        <v>0</v>
      </c>
      <c r="AA253" s="71" t="n">
        <f aca="false">IF(AA$5="A",0,MAX(0,AA252-Z254))</f>
        <v>0</v>
      </c>
      <c r="AB253" s="71" t="n">
        <f aca="false">IF(AB$5="A",0,MAX(0,AB252-AA254))</f>
        <v>0</v>
      </c>
    </row>
    <row r="254" customFormat="false" ht="15" hidden="false" customHeight="false" outlineLevel="0" collapsed="false">
      <c r="A254" s="28" t="s">
        <v>927</v>
      </c>
      <c r="B254" s="58"/>
      <c r="C254" s="59" t="n">
        <f aca="false">P254</f>
        <v>0</v>
      </c>
      <c r="D254" s="59" t="n">
        <f aca="false">AB254</f>
        <v>204000</v>
      </c>
      <c r="E254" s="60" t="n">
        <f aca="false">Project_Register!$R$20+E253</f>
        <v>0</v>
      </c>
      <c r="F254" s="71" t="n">
        <f aca="false">E254+F253</f>
        <v>0</v>
      </c>
      <c r="G254" s="71" t="n">
        <f aca="false">F254+G253</f>
        <v>0</v>
      </c>
      <c r="H254" s="71" t="n">
        <f aca="false">G254+H253</f>
        <v>0</v>
      </c>
      <c r="I254" s="71" t="n">
        <f aca="false">H254+I253</f>
        <v>0</v>
      </c>
      <c r="J254" s="71" t="n">
        <f aca="false">I254+J253</f>
        <v>0</v>
      </c>
      <c r="K254" s="71" t="n">
        <f aca="false">J254+K253</f>
        <v>0</v>
      </c>
      <c r="L254" s="71" t="n">
        <f aca="false">K254+L253</f>
        <v>0</v>
      </c>
      <c r="M254" s="71" t="n">
        <f aca="false">L254+M253</f>
        <v>0</v>
      </c>
      <c r="N254" s="71" t="n">
        <f aca="false">M254+N253</f>
        <v>0</v>
      </c>
      <c r="O254" s="71" t="n">
        <f aca="false">N254+O253</f>
        <v>0</v>
      </c>
      <c r="P254" s="71" t="n">
        <f aca="false">O254+P253</f>
        <v>0</v>
      </c>
      <c r="Q254" s="71" t="n">
        <f aca="false">P254+Q253</f>
        <v>61200</v>
      </c>
      <c r="R254" s="71" t="n">
        <f aca="false">Q254+R253</f>
        <v>61200</v>
      </c>
      <c r="S254" s="71" t="n">
        <f aca="false">R254+S253</f>
        <v>142800</v>
      </c>
      <c r="T254" s="71" t="n">
        <f aca="false">S254+T253</f>
        <v>142800</v>
      </c>
      <c r="U254" s="71" t="n">
        <f aca="false">T254+U253</f>
        <v>204000</v>
      </c>
      <c r="V254" s="71" t="n">
        <f aca="false">U254+V253</f>
        <v>204000</v>
      </c>
      <c r="W254" s="71" t="n">
        <f aca="false">V254+W253</f>
        <v>204000</v>
      </c>
      <c r="X254" s="71" t="n">
        <f aca="false">W254+X253</f>
        <v>204000</v>
      </c>
      <c r="Y254" s="71" t="n">
        <f aca="false">X254+Y253</f>
        <v>204000</v>
      </c>
      <c r="Z254" s="71" t="n">
        <f aca="false">Y254+Z253</f>
        <v>204000</v>
      </c>
      <c r="AA254" s="71" t="n">
        <f aca="false">Z254+AA253</f>
        <v>204000</v>
      </c>
      <c r="AB254" s="71" t="n">
        <f aca="false">AA254+AB253</f>
        <v>204000</v>
      </c>
    </row>
    <row r="255" customFormat="false" ht="15" hidden="false" customHeight="false" outlineLevel="0" collapsed="false">
      <c r="A255" s="28" t="s">
        <v>928</v>
      </c>
      <c r="B255" s="58" t="s">
        <v>929</v>
      </c>
      <c r="C255" s="59" t="n">
        <f aca="false">P255</f>
        <v>0</v>
      </c>
      <c r="D255" s="59" t="n">
        <f aca="false">AB255</f>
        <v>0</v>
      </c>
      <c r="E255" s="71" t="n">
        <f aca="false">E250-E254</f>
        <v>0</v>
      </c>
      <c r="F255" s="71" t="n">
        <f aca="false">F250-F254</f>
        <v>0</v>
      </c>
      <c r="G255" s="71" t="n">
        <f aca="false">G250-G254</f>
        <v>0</v>
      </c>
      <c r="H255" s="71" t="n">
        <f aca="false">H250-H254</f>
        <v>0</v>
      </c>
      <c r="I255" s="71" t="n">
        <f aca="false">I250-I254</f>
        <v>0</v>
      </c>
      <c r="J255" s="71" t="n">
        <f aca="false">J250-J254</f>
        <v>0</v>
      </c>
      <c r="K255" s="71" t="n">
        <f aca="false">K250-K254</f>
        <v>0</v>
      </c>
      <c r="L255" s="71" t="n">
        <f aca="false">L250-L254</f>
        <v>0</v>
      </c>
      <c r="M255" s="71" t="n">
        <f aca="false">M250-M254</f>
        <v>0</v>
      </c>
      <c r="N255" s="71" t="n">
        <f aca="false">N250-N254</f>
        <v>0</v>
      </c>
      <c r="O255" s="71" t="n">
        <f aca="false">O250-O254</f>
        <v>0</v>
      </c>
      <c r="P255" s="71" t="n">
        <f aca="false">P250-P254</f>
        <v>0</v>
      </c>
      <c r="Q255" s="71" t="n">
        <f aca="false">Q250-Q254</f>
        <v>-39984</v>
      </c>
      <c r="R255" s="71" t="n">
        <f aca="false">R250-R254</f>
        <v>10608</v>
      </c>
      <c r="S255" s="71" t="n">
        <f aca="false">S250-S254</f>
        <v>-10608</v>
      </c>
      <c r="T255" s="71" t="n">
        <f aca="false">T250-T254</f>
        <v>39984</v>
      </c>
      <c r="U255" s="71" t="n">
        <f aca="false">U250-U254</f>
        <v>0</v>
      </c>
      <c r="V255" s="71" t="n">
        <f aca="false">V250-V254</f>
        <v>0</v>
      </c>
      <c r="W255" s="71" t="n">
        <f aca="false">W250-W254</f>
        <v>0</v>
      </c>
      <c r="X255" s="71" t="n">
        <f aca="false">X250-X254</f>
        <v>0</v>
      </c>
      <c r="Y255" s="71" t="n">
        <f aca="false">Y250-Y254</f>
        <v>0</v>
      </c>
      <c r="Z255" s="71" t="n">
        <f aca="false">Z250-Z254</f>
        <v>0</v>
      </c>
      <c r="AA255" s="71" t="n">
        <f aca="false">AA250-AA254</f>
        <v>0</v>
      </c>
      <c r="AB255" s="71" t="n">
        <f aca="false">AB250-AB254</f>
        <v>0</v>
      </c>
    </row>
    <row r="256" customFormat="false" ht="15" hidden="false" customHeight="false" outlineLevel="0" collapsed="false">
      <c r="A256" s="28" t="s">
        <v>930</v>
      </c>
      <c r="B256" s="58"/>
      <c r="C256" s="59" t="n">
        <f aca="false">P256</f>
        <v>204000</v>
      </c>
      <c r="D256" s="59" t="n">
        <f aca="false">AB256</f>
        <v>0</v>
      </c>
      <c r="E256" s="71" t="n">
        <f aca="false">MAX(0,E249-E250)</f>
        <v>0</v>
      </c>
      <c r="F256" s="71" t="n">
        <f aca="false">MAX(0,F249-F250)</f>
        <v>0</v>
      </c>
      <c r="G256" s="71" t="n">
        <f aca="false">MAX(0,G249-G250)</f>
        <v>0</v>
      </c>
      <c r="H256" s="71" t="n">
        <f aca="false">MAX(0,H249-H250)</f>
        <v>0</v>
      </c>
      <c r="I256" s="71" t="n">
        <f aca="false">MAX(0,I249-I250)</f>
        <v>0</v>
      </c>
      <c r="J256" s="71" t="n">
        <f aca="false">MAX(0,J249-J250)</f>
        <v>0</v>
      </c>
      <c r="K256" s="71" t="n">
        <f aca="false">MAX(0,K249-K250)</f>
        <v>0</v>
      </c>
      <c r="L256" s="71" t="n">
        <f aca="false">MAX(0,L249-L250)</f>
        <v>0</v>
      </c>
      <c r="M256" s="71" t="n">
        <f aca="false">MAX(0,M249-M250)</f>
        <v>204000</v>
      </c>
      <c r="N256" s="71" t="n">
        <f aca="false">MAX(0,N249-N250)</f>
        <v>204000</v>
      </c>
      <c r="O256" s="71" t="n">
        <f aca="false">MAX(0,O249-O250)</f>
        <v>204000</v>
      </c>
      <c r="P256" s="71" t="n">
        <f aca="false">MAX(0,P249-P250)</f>
        <v>204000</v>
      </c>
      <c r="Q256" s="71" t="n">
        <f aca="false">MAX(0,Q249-Q250)</f>
        <v>182784</v>
      </c>
      <c r="R256" s="71" t="n">
        <f aca="false">MAX(0,R249-R250)</f>
        <v>132192</v>
      </c>
      <c r="S256" s="71" t="n">
        <f aca="false">MAX(0,S249-S250)</f>
        <v>71808</v>
      </c>
      <c r="T256" s="71" t="n">
        <f aca="false">MAX(0,T249-T250)</f>
        <v>21216</v>
      </c>
      <c r="U256" s="71" t="n">
        <f aca="false">MAX(0,U249-U250)</f>
        <v>0</v>
      </c>
      <c r="V256" s="71" t="n">
        <f aca="false">MAX(0,V249-V250)</f>
        <v>0</v>
      </c>
      <c r="W256" s="71" t="n">
        <f aca="false">MAX(0,W249-W250)</f>
        <v>0</v>
      </c>
      <c r="X256" s="71" t="n">
        <f aca="false">MAX(0,X249-X250)</f>
        <v>0</v>
      </c>
      <c r="Y256" s="71" t="n">
        <f aca="false">MAX(0,Y249-Y250)</f>
        <v>0</v>
      </c>
      <c r="Z256" s="71" t="n">
        <f aca="false">MAX(0,Z249-Z250)</f>
        <v>0</v>
      </c>
      <c r="AA256" s="71" t="n">
        <f aca="false">MAX(0,AA249-AA250)</f>
        <v>0</v>
      </c>
      <c r="AB256" s="71" t="n">
        <f aca="false">MAX(0,AB249-AB250)</f>
        <v>0</v>
      </c>
    </row>
    <row r="258" customFormat="false" ht="15" hidden="false" customHeight="false" outlineLevel="0" collapsed="false">
      <c r="A258" s="22" t="s">
        <v>953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row>
    <row r="259" customFormat="false" ht="15" hidden="false" customHeight="false" outlineLevel="0" collapsed="false">
      <c r="A259" s="28" t="s">
        <v>905</v>
      </c>
      <c r="B259" s="58" t="s">
        <v>906</v>
      </c>
      <c r="E259" s="112" t="n">
        <f aca="false">MIN(1,MAX(0,(Assumptions!E$99-Project_Register!$T$21+1)/(Project_Register!$U$21-Project_Register!$T$21+1)))</f>
        <v>0</v>
      </c>
      <c r="F259" s="112" t="n">
        <f aca="false">MIN(1,MAX(0,(Assumptions!F$99-Project_Register!$T$21+1)/(Project_Register!$U$21-Project_Register!$T$21+1)))</f>
        <v>0</v>
      </c>
      <c r="G259" s="112" t="n">
        <f aca="false">MIN(1,MAX(0,(Assumptions!G$99-Project_Register!$T$21+1)/(Project_Register!$U$21-Project_Register!$T$21+1)))</f>
        <v>0</v>
      </c>
      <c r="H259" s="112" t="n">
        <f aca="false">MIN(1,MAX(0,(Assumptions!H$99-Project_Register!$T$21+1)/(Project_Register!$U$21-Project_Register!$T$21+1)))</f>
        <v>0</v>
      </c>
      <c r="I259" s="112" t="n">
        <f aca="false">MIN(1,MAX(0,(Assumptions!I$99-Project_Register!$T$21+1)/(Project_Register!$U$21-Project_Register!$T$21+1)))</f>
        <v>0</v>
      </c>
      <c r="J259" s="112" t="n">
        <f aca="false">MIN(1,MAX(0,(Assumptions!J$99-Project_Register!$T$21+1)/(Project_Register!$U$21-Project_Register!$T$21+1)))</f>
        <v>0</v>
      </c>
      <c r="K259" s="112" t="n">
        <f aca="false">MIN(1,MAX(0,(Assumptions!K$99-Project_Register!$T$21+1)/(Project_Register!$U$21-Project_Register!$T$21+1)))</f>
        <v>0</v>
      </c>
      <c r="L259" s="112" t="n">
        <f aca="false">MIN(1,MAX(0,(Assumptions!L$99-Project_Register!$T$21+1)/(Project_Register!$U$21-Project_Register!$T$21+1)))</f>
        <v>0</v>
      </c>
      <c r="M259" s="112" t="n">
        <f aca="false">MIN(1,MAX(0,(Assumptions!M$99-Project_Register!$T$21+1)/(Project_Register!$U$21-Project_Register!$T$21+1)))</f>
        <v>0</v>
      </c>
      <c r="N259" s="112" t="n">
        <f aca="false">MIN(1,MAX(0,(Assumptions!N$99-Project_Register!$T$21+1)/(Project_Register!$U$21-Project_Register!$T$21+1)))</f>
        <v>0</v>
      </c>
      <c r="O259" s="112" t="n">
        <f aca="false">MIN(1,MAX(0,(Assumptions!O$99-Project_Register!$T$21+1)/(Project_Register!$U$21-Project_Register!$T$21+1)))</f>
        <v>0</v>
      </c>
      <c r="P259" s="112" t="n">
        <f aca="false">MIN(1,MAX(0,(Assumptions!P$99-Project_Register!$T$21+1)/(Project_Register!$U$21-Project_Register!$T$21+1)))</f>
        <v>0</v>
      </c>
      <c r="Q259" s="112" t="n">
        <f aca="false">MIN(1,MAX(0,(Assumptions!Q$99-Project_Register!$T$21+1)/(Project_Register!$U$21-Project_Register!$T$21+1)))</f>
        <v>0</v>
      </c>
      <c r="R259" s="112" t="n">
        <f aca="false">MIN(1,MAX(0,(Assumptions!R$99-Project_Register!$T$21+1)/(Project_Register!$U$21-Project_Register!$T$21+1)))</f>
        <v>0</v>
      </c>
      <c r="S259" s="112" t="n">
        <f aca="false">MIN(1,MAX(0,(Assumptions!S$99-Project_Register!$T$21+1)/(Project_Register!$U$21-Project_Register!$T$21+1)))</f>
        <v>0</v>
      </c>
      <c r="T259" s="112" t="n">
        <f aca="false">MIN(1,MAX(0,(Assumptions!T$99-Project_Register!$T$21+1)/(Project_Register!$U$21-Project_Register!$T$21+1)))</f>
        <v>0.2</v>
      </c>
      <c r="U259" s="112" t="n">
        <f aca="false">MIN(1,MAX(0,(Assumptions!U$99-Project_Register!$T$21+1)/(Project_Register!$U$21-Project_Register!$T$21+1)))</f>
        <v>0.4</v>
      </c>
      <c r="V259" s="112" t="n">
        <f aca="false">MIN(1,MAX(0,(Assumptions!V$99-Project_Register!$T$21+1)/(Project_Register!$U$21-Project_Register!$T$21+1)))</f>
        <v>0.6</v>
      </c>
      <c r="W259" s="112" t="n">
        <f aca="false">MIN(1,MAX(0,(Assumptions!W$99-Project_Register!$T$21+1)/(Project_Register!$U$21-Project_Register!$T$21+1)))</f>
        <v>0.8</v>
      </c>
      <c r="X259" s="112" t="n">
        <f aca="false">MIN(1,MAX(0,(Assumptions!X$99-Project_Register!$T$21+1)/(Project_Register!$U$21-Project_Register!$T$21+1)))</f>
        <v>1</v>
      </c>
      <c r="Y259" s="112" t="n">
        <f aca="false">MIN(1,MAX(0,(Assumptions!Y$99-Project_Register!$T$21+1)/(Project_Register!$U$21-Project_Register!$T$21+1)))</f>
        <v>1</v>
      </c>
      <c r="Z259" s="112" t="n">
        <f aca="false">MIN(1,MAX(0,(Assumptions!Z$99-Project_Register!$T$21+1)/(Project_Register!$U$21-Project_Register!$T$21+1)))</f>
        <v>1</v>
      </c>
      <c r="AA259" s="112" t="n">
        <f aca="false">MIN(1,MAX(0,(Assumptions!AA$99-Project_Register!$T$21+1)/(Project_Register!$U$21-Project_Register!$T$21+1)))</f>
        <v>1</v>
      </c>
      <c r="AB259" s="112" t="n">
        <f aca="false">MIN(1,MAX(0,(Assumptions!AB$99-Project_Register!$T$21+1)/(Project_Register!$U$21-Project_Register!$T$21+1)))</f>
        <v>1</v>
      </c>
    </row>
    <row r="260" customFormat="false" ht="15" hidden="false" customHeight="false" outlineLevel="0" collapsed="false">
      <c r="A260" s="28" t="s">
        <v>907</v>
      </c>
      <c r="B260" s="58" t="s">
        <v>908</v>
      </c>
      <c r="E260" s="113" t="n">
        <f aca="false">3*E259^2-2*E259^3</f>
        <v>0</v>
      </c>
      <c r="F260" s="113" t="n">
        <f aca="false">3*F259^2-2*F259^3</f>
        <v>0</v>
      </c>
      <c r="G260" s="113" t="n">
        <f aca="false">3*G259^2-2*G259^3</f>
        <v>0</v>
      </c>
      <c r="H260" s="113" t="n">
        <f aca="false">3*H259^2-2*H259^3</f>
        <v>0</v>
      </c>
      <c r="I260" s="113" t="n">
        <f aca="false">3*I259^2-2*I259^3</f>
        <v>0</v>
      </c>
      <c r="J260" s="113" t="n">
        <f aca="false">3*J259^2-2*J259^3</f>
        <v>0</v>
      </c>
      <c r="K260" s="113" t="n">
        <f aca="false">3*K259^2-2*K259^3</f>
        <v>0</v>
      </c>
      <c r="L260" s="113" t="n">
        <f aca="false">3*L259^2-2*L259^3</f>
        <v>0</v>
      </c>
      <c r="M260" s="113" t="n">
        <f aca="false">3*M259^2-2*M259^3</f>
        <v>0</v>
      </c>
      <c r="N260" s="113" t="n">
        <f aca="false">3*N259^2-2*N259^3</f>
        <v>0</v>
      </c>
      <c r="O260" s="113" t="n">
        <f aca="false">3*O259^2-2*O259^3</f>
        <v>0</v>
      </c>
      <c r="P260" s="113" t="n">
        <f aca="false">3*P259^2-2*P259^3</f>
        <v>0</v>
      </c>
      <c r="Q260" s="113" t="n">
        <f aca="false">3*Q259^2-2*Q259^3</f>
        <v>0</v>
      </c>
      <c r="R260" s="113" t="n">
        <f aca="false">3*R259^2-2*R259^3</f>
        <v>0</v>
      </c>
      <c r="S260" s="113" t="n">
        <f aca="false">3*S259^2-2*S259^3</f>
        <v>0</v>
      </c>
      <c r="T260" s="113" t="n">
        <f aca="false">3*T259^2-2*T259^3</f>
        <v>0.104</v>
      </c>
      <c r="U260" s="113" t="n">
        <f aca="false">3*U259^2-2*U259^3</f>
        <v>0.352</v>
      </c>
      <c r="V260" s="113" t="n">
        <f aca="false">3*V259^2-2*V259^3</f>
        <v>0.648</v>
      </c>
      <c r="W260" s="113" t="n">
        <f aca="false">3*W259^2-2*W259^3</f>
        <v>0.896</v>
      </c>
      <c r="X260" s="113" t="n">
        <f aca="false">3*X259^2-2*X259^3</f>
        <v>1</v>
      </c>
      <c r="Y260" s="113" t="n">
        <f aca="false">3*Y259^2-2*Y259^3</f>
        <v>1</v>
      </c>
      <c r="Z260" s="113" t="n">
        <f aca="false">3*Z259^2-2*Z259^3</f>
        <v>1</v>
      </c>
      <c r="AA260" s="113" t="n">
        <f aca="false">3*AA259^2-2*AA259^3</f>
        <v>1</v>
      </c>
      <c r="AB260" s="113" t="n">
        <f aca="false">3*AB259^2-2*AB259^3</f>
        <v>1</v>
      </c>
    </row>
    <row r="261" customFormat="false" ht="15" hidden="false" customHeight="false" outlineLevel="0" collapsed="false">
      <c r="A261" s="28" t="s">
        <v>909</v>
      </c>
      <c r="B261" s="58"/>
      <c r="E261" s="112" t="n">
        <f aca="false">3*MIN(1,MAX(0,(Assumptions!E$99-Project_Register!$T$21)/(Project_Register!$U$21-Project_Register!$T$21+1)))^2-2*MIN(1,MAX(0,(Assumptions!E$99-Project_Register!$T$21)/(Project_Register!$U$21-Project_Register!$T$21+1)))^3</f>
        <v>0</v>
      </c>
      <c r="F261" s="112" t="n">
        <f aca="false">3*MIN(1,MAX(0,(Assumptions!F$99-Project_Register!$T$21)/(Project_Register!$U$21-Project_Register!$T$21+1)))^2-2*MIN(1,MAX(0,(Assumptions!F$99-Project_Register!$T$21)/(Project_Register!$U$21-Project_Register!$T$21+1)))^3</f>
        <v>0</v>
      </c>
      <c r="G261" s="112" t="n">
        <f aca="false">3*MIN(1,MAX(0,(Assumptions!G$99-Project_Register!$T$21)/(Project_Register!$U$21-Project_Register!$T$21+1)))^2-2*MIN(1,MAX(0,(Assumptions!G$99-Project_Register!$T$21)/(Project_Register!$U$21-Project_Register!$T$21+1)))^3</f>
        <v>0</v>
      </c>
      <c r="H261" s="112" t="n">
        <f aca="false">3*MIN(1,MAX(0,(Assumptions!H$99-Project_Register!$T$21)/(Project_Register!$U$21-Project_Register!$T$21+1)))^2-2*MIN(1,MAX(0,(Assumptions!H$99-Project_Register!$T$21)/(Project_Register!$U$21-Project_Register!$T$21+1)))^3</f>
        <v>0</v>
      </c>
      <c r="I261" s="112" t="n">
        <f aca="false">3*MIN(1,MAX(0,(Assumptions!I$99-Project_Register!$T$21)/(Project_Register!$U$21-Project_Register!$T$21+1)))^2-2*MIN(1,MAX(0,(Assumptions!I$99-Project_Register!$T$21)/(Project_Register!$U$21-Project_Register!$T$21+1)))^3</f>
        <v>0</v>
      </c>
      <c r="J261" s="112" t="n">
        <f aca="false">3*MIN(1,MAX(0,(Assumptions!J$99-Project_Register!$T$21)/(Project_Register!$U$21-Project_Register!$T$21+1)))^2-2*MIN(1,MAX(0,(Assumptions!J$99-Project_Register!$T$21)/(Project_Register!$U$21-Project_Register!$T$21+1)))^3</f>
        <v>0</v>
      </c>
      <c r="K261" s="112" t="n">
        <f aca="false">3*MIN(1,MAX(0,(Assumptions!K$99-Project_Register!$T$21)/(Project_Register!$U$21-Project_Register!$T$21+1)))^2-2*MIN(1,MAX(0,(Assumptions!K$99-Project_Register!$T$21)/(Project_Register!$U$21-Project_Register!$T$21+1)))^3</f>
        <v>0</v>
      </c>
      <c r="L261" s="112" t="n">
        <f aca="false">3*MIN(1,MAX(0,(Assumptions!L$99-Project_Register!$T$21)/(Project_Register!$U$21-Project_Register!$T$21+1)))^2-2*MIN(1,MAX(0,(Assumptions!L$99-Project_Register!$T$21)/(Project_Register!$U$21-Project_Register!$T$21+1)))^3</f>
        <v>0</v>
      </c>
      <c r="M261" s="112" t="n">
        <f aca="false">3*MIN(1,MAX(0,(Assumptions!M$99-Project_Register!$T$21)/(Project_Register!$U$21-Project_Register!$T$21+1)))^2-2*MIN(1,MAX(0,(Assumptions!M$99-Project_Register!$T$21)/(Project_Register!$U$21-Project_Register!$T$21+1)))^3</f>
        <v>0</v>
      </c>
      <c r="N261" s="112" t="n">
        <f aca="false">3*MIN(1,MAX(0,(Assumptions!N$99-Project_Register!$T$21)/(Project_Register!$U$21-Project_Register!$T$21+1)))^2-2*MIN(1,MAX(0,(Assumptions!N$99-Project_Register!$T$21)/(Project_Register!$U$21-Project_Register!$T$21+1)))^3</f>
        <v>0</v>
      </c>
      <c r="O261" s="112" t="n">
        <f aca="false">3*MIN(1,MAX(0,(Assumptions!O$99-Project_Register!$T$21)/(Project_Register!$U$21-Project_Register!$T$21+1)))^2-2*MIN(1,MAX(0,(Assumptions!O$99-Project_Register!$T$21)/(Project_Register!$U$21-Project_Register!$T$21+1)))^3</f>
        <v>0</v>
      </c>
      <c r="P261" s="112" t="n">
        <f aca="false">3*MIN(1,MAX(0,(Assumptions!P$99-Project_Register!$T$21)/(Project_Register!$U$21-Project_Register!$T$21+1)))^2-2*MIN(1,MAX(0,(Assumptions!P$99-Project_Register!$T$21)/(Project_Register!$U$21-Project_Register!$T$21+1)))^3</f>
        <v>0</v>
      </c>
      <c r="Q261" s="112" t="n">
        <f aca="false">3*MIN(1,MAX(0,(Assumptions!Q$99-Project_Register!$T$21)/(Project_Register!$U$21-Project_Register!$T$21+1)))^2-2*MIN(1,MAX(0,(Assumptions!Q$99-Project_Register!$T$21)/(Project_Register!$U$21-Project_Register!$T$21+1)))^3</f>
        <v>0</v>
      </c>
      <c r="R261" s="112" t="n">
        <f aca="false">3*MIN(1,MAX(0,(Assumptions!R$99-Project_Register!$T$21)/(Project_Register!$U$21-Project_Register!$T$21+1)))^2-2*MIN(1,MAX(0,(Assumptions!R$99-Project_Register!$T$21)/(Project_Register!$U$21-Project_Register!$T$21+1)))^3</f>
        <v>0</v>
      </c>
      <c r="S261" s="112" t="n">
        <f aca="false">3*MIN(1,MAX(0,(Assumptions!S$99-Project_Register!$T$21)/(Project_Register!$U$21-Project_Register!$T$21+1)))^2-2*MIN(1,MAX(0,(Assumptions!S$99-Project_Register!$T$21)/(Project_Register!$U$21-Project_Register!$T$21+1)))^3</f>
        <v>0</v>
      </c>
      <c r="T261" s="112" t="n">
        <f aca="false">3*MIN(1,MAX(0,(Assumptions!T$99-Project_Register!$T$21)/(Project_Register!$U$21-Project_Register!$T$21+1)))^2-2*MIN(1,MAX(0,(Assumptions!T$99-Project_Register!$T$21)/(Project_Register!$U$21-Project_Register!$T$21+1)))^3</f>
        <v>0</v>
      </c>
      <c r="U261" s="112" t="n">
        <f aca="false">3*MIN(1,MAX(0,(Assumptions!U$99-Project_Register!$T$21)/(Project_Register!$U$21-Project_Register!$T$21+1)))^2-2*MIN(1,MAX(0,(Assumptions!U$99-Project_Register!$T$21)/(Project_Register!$U$21-Project_Register!$T$21+1)))^3</f>
        <v>0.104</v>
      </c>
      <c r="V261" s="112" t="n">
        <f aca="false">3*MIN(1,MAX(0,(Assumptions!V$99-Project_Register!$T$21)/(Project_Register!$U$21-Project_Register!$T$21+1)))^2-2*MIN(1,MAX(0,(Assumptions!V$99-Project_Register!$T$21)/(Project_Register!$U$21-Project_Register!$T$21+1)))^3</f>
        <v>0.352</v>
      </c>
      <c r="W261" s="112" t="n">
        <f aca="false">3*MIN(1,MAX(0,(Assumptions!W$99-Project_Register!$T$21)/(Project_Register!$U$21-Project_Register!$T$21+1)))^2-2*MIN(1,MAX(0,(Assumptions!W$99-Project_Register!$T$21)/(Project_Register!$U$21-Project_Register!$T$21+1)))^3</f>
        <v>0.648</v>
      </c>
      <c r="X261" s="112" t="n">
        <f aca="false">3*MIN(1,MAX(0,(Assumptions!X$99-Project_Register!$T$21)/(Project_Register!$U$21-Project_Register!$T$21+1)))^2-2*MIN(1,MAX(0,(Assumptions!X$99-Project_Register!$T$21)/(Project_Register!$U$21-Project_Register!$T$21+1)))^3</f>
        <v>0.896</v>
      </c>
      <c r="Y261" s="112" t="n">
        <f aca="false">3*MIN(1,MAX(0,(Assumptions!Y$99-Project_Register!$T$21)/(Project_Register!$U$21-Project_Register!$T$21+1)))^2-2*MIN(1,MAX(0,(Assumptions!Y$99-Project_Register!$T$21)/(Project_Register!$U$21-Project_Register!$T$21+1)))^3</f>
        <v>1</v>
      </c>
      <c r="Z261" s="112" t="n">
        <f aca="false">3*MIN(1,MAX(0,(Assumptions!Z$99-Project_Register!$T$21)/(Project_Register!$U$21-Project_Register!$T$21+1)))^2-2*MIN(1,MAX(0,(Assumptions!Z$99-Project_Register!$T$21)/(Project_Register!$U$21-Project_Register!$T$21+1)))^3</f>
        <v>1</v>
      </c>
      <c r="AA261" s="112" t="n">
        <f aca="false">3*MIN(1,MAX(0,(Assumptions!AA$99-Project_Register!$T$21)/(Project_Register!$U$21-Project_Register!$T$21+1)))^2-2*MIN(1,MAX(0,(Assumptions!AA$99-Project_Register!$T$21)/(Project_Register!$U$21-Project_Register!$T$21+1)))^3</f>
        <v>1</v>
      </c>
      <c r="AB261" s="112" t="n">
        <f aca="false">3*MIN(1,MAX(0,(Assumptions!AB$99-Project_Register!$T$21)/(Project_Register!$U$21-Project_Register!$T$21+1)))^2-2*MIN(1,MAX(0,(Assumptions!AB$99-Project_Register!$T$21)/(Project_Register!$U$21-Project_Register!$T$21+1)))^3</f>
        <v>1</v>
      </c>
    </row>
    <row r="262" customFormat="false" ht="15" hidden="false" customHeight="false" outlineLevel="0" collapsed="false">
      <c r="A262" s="28" t="s">
        <v>802</v>
      </c>
      <c r="B262" s="58" t="s">
        <v>910</v>
      </c>
      <c r="C262" s="66" t="n">
        <f aca="false">SUM(E262:P262)</f>
        <v>0</v>
      </c>
      <c r="D262" s="66" t="n">
        <f aca="false">SUM(Q262:AB262)</f>
        <v>1955</v>
      </c>
      <c r="E262" s="67" t="n">
        <f aca="false">IF(E$5="A",0,IF((Project_Register!$AA$21-Project_Register!$X$21)&lt;=0,0,IF(1-Project_Register!$AC$21&lt;=0.000001,IF(Assumptions!E$99=Assumptions!$C$10+1,(Project_Register!$AA$21-Project_Register!$X$21),0),(Project_Register!$AA$21-Project_Register!$X$21)*(E260-E261)/(1-Project_Register!$AC$21))))</f>
        <v>0</v>
      </c>
      <c r="F262" s="67" t="n">
        <f aca="false">IF(F$5="A",0,IF((Project_Register!$AA$21-Project_Register!$X$21)&lt;=0,0,IF(1-Project_Register!$AC$21&lt;=0.000001,IF(Assumptions!F$99=Assumptions!$C$10+1,(Project_Register!$AA$21-Project_Register!$X$21),0),(Project_Register!$AA$21-Project_Register!$X$21)*(F260-F261)/(1-Project_Register!$AC$21))))</f>
        <v>0</v>
      </c>
      <c r="G262" s="67" t="n">
        <f aca="false">IF(G$5="A",0,IF((Project_Register!$AA$21-Project_Register!$X$21)&lt;=0,0,IF(1-Project_Register!$AC$21&lt;=0.000001,IF(Assumptions!G$99=Assumptions!$C$10+1,(Project_Register!$AA$21-Project_Register!$X$21),0),(Project_Register!$AA$21-Project_Register!$X$21)*(G260-G261)/(1-Project_Register!$AC$21))))</f>
        <v>0</v>
      </c>
      <c r="H262" s="67" t="n">
        <f aca="false">IF(H$5="A",0,IF((Project_Register!$AA$21-Project_Register!$X$21)&lt;=0,0,IF(1-Project_Register!$AC$21&lt;=0.000001,IF(Assumptions!H$99=Assumptions!$C$10+1,(Project_Register!$AA$21-Project_Register!$X$21),0),(Project_Register!$AA$21-Project_Register!$X$21)*(H260-H261)/(1-Project_Register!$AC$21))))</f>
        <v>0</v>
      </c>
      <c r="I262" s="67" t="n">
        <f aca="false">IF(I$5="A",0,IF((Project_Register!$AA$21-Project_Register!$X$21)&lt;=0,0,IF(1-Project_Register!$AC$21&lt;=0.000001,IF(Assumptions!I$99=Assumptions!$C$10+1,(Project_Register!$AA$21-Project_Register!$X$21),0),(Project_Register!$AA$21-Project_Register!$X$21)*(I260-I261)/(1-Project_Register!$AC$21))))</f>
        <v>0</v>
      </c>
      <c r="J262" s="67" t="n">
        <f aca="false">IF(J$5="A",0,IF((Project_Register!$AA$21-Project_Register!$X$21)&lt;=0,0,IF(1-Project_Register!$AC$21&lt;=0.000001,IF(Assumptions!J$99=Assumptions!$C$10+1,(Project_Register!$AA$21-Project_Register!$X$21),0),(Project_Register!$AA$21-Project_Register!$X$21)*(J260-J261)/(1-Project_Register!$AC$21))))</f>
        <v>0</v>
      </c>
      <c r="K262" s="67" t="n">
        <f aca="false">IF(K$5="A",0,IF((Project_Register!$AA$21-Project_Register!$X$21)&lt;=0,0,IF(1-Project_Register!$AC$21&lt;=0.000001,IF(Assumptions!K$99=Assumptions!$C$10+1,(Project_Register!$AA$21-Project_Register!$X$21),0),(Project_Register!$AA$21-Project_Register!$X$21)*(K260-K261)/(1-Project_Register!$AC$21))))</f>
        <v>0</v>
      </c>
      <c r="L262" s="67" t="n">
        <f aca="false">IF(L$5="A",0,IF((Project_Register!$AA$21-Project_Register!$X$21)&lt;=0,0,IF(1-Project_Register!$AC$21&lt;=0.000001,IF(Assumptions!L$99=Assumptions!$C$10+1,(Project_Register!$AA$21-Project_Register!$X$21),0),(Project_Register!$AA$21-Project_Register!$X$21)*(L260-L261)/(1-Project_Register!$AC$21))))</f>
        <v>0</v>
      </c>
      <c r="M262" s="67" t="n">
        <f aca="false">IF(M$5="A",0,IF((Project_Register!$AA$21-Project_Register!$X$21)&lt;=0,0,IF(1-Project_Register!$AC$21&lt;=0.000001,IF(Assumptions!M$99=Assumptions!$C$10+1,(Project_Register!$AA$21-Project_Register!$X$21),0),(Project_Register!$AA$21-Project_Register!$X$21)*(M260-M261)/(1-Project_Register!$AC$21))))</f>
        <v>0</v>
      </c>
      <c r="N262" s="67" t="n">
        <f aca="false">IF(N$5="A",0,IF((Project_Register!$AA$21-Project_Register!$X$21)&lt;=0,0,IF(1-Project_Register!$AC$21&lt;=0.000001,IF(Assumptions!N$99=Assumptions!$C$10+1,(Project_Register!$AA$21-Project_Register!$X$21),0),(Project_Register!$AA$21-Project_Register!$X$21)*(N260-N261)/(1-Project_Register!$AC$21))))</f>
        <v>0</v>
      </c>
      <c r="O262" s="67" t="n">
        <f aca="false">IF(O$5="A",0,IF((Project_Register!$AA$21-Project_Register!$X$21)&lt;=0,0,IF(1-Project_Register!$AC$21&lt;=0.000001,IF(Assumptions!O$99=Assumptions!$C$10+1,(Project_Register!$AA$21-Project_Register!$X$21),0),(Project_Register!$AA$21-Project_Register!$X$21)*(O260-O261)/(1-Project_Register!$AC$21))))</f>
        <v>0</v>
      </c>
      <c r="P262" s="67" t="n">
        <f aca="false">IF(P$5="A",0,IF((Project_Register!$AA$21-Project_Register!$X$21)&lt;=0,0,IF(1-Project_Register!$AC$21&lt;=0.000001,IF(Assumptions!P$99=Assumptions!$C$10+1,(Project_Register!$AA$21-Project_Register!$X$21),0),(Project_Register!$AA$21-Project_Register!$X$21)*(P260-P261)/(1-Project_Register!$AC$21))))</f>
        <v>0</v>
      </c>
      <c r="Q262" s="67" t="n">
        <f aca="false">IF(Q$5="A",0,IF((Project_Register!$AA$21-Project_Register!$X$21)&lt;=0,0,IF(1-Project_Register!$AC$21&lt;=0.000001,IF(Assumptions!Q$99=Assumptions!$C$10+1,(Project_Register!$AA$21-Project_Register!$X$21),0),(Project_Register!$AA$21-Project_Register!$X$21)*(Q260-Q261)/(1-Project_Register!$AC$21))))</f>
        <v>0</v>
      </c>
      <c r="R262" s="67" t="n">
        <f aca="false">IF(R$5="A",0,IF((Project_Register!$AA$21-Project_Register!$X$21)&lt;=0,0,IF(1-Project_Register!$AC$21&lt;=0.000001,IF(Assumptions!R$99=Assumptions!$C$10+1,(Project_Register!$AA$21-Project_Register!$X$21),0),(Project_Register!$AA$21-Project_Register!$X$21)*(R260-R261)/(1-Project_Register!$AC$21))))</f>
        <v>0</v>
      </c>
      <c r="S262" s="67" t="n">
        <f aca="false">IF(S$5="A",0,IF((Project_Register!$AA$21-Project_Register!$X$21)&lt;=0,0,IF(1-Project_Register!$AC$21&lt;=0.000001,IF(Assumptions!S$99=Assumptions!$C$10+1,(Project_Register!$AA$21-Project_Register!$X$21),0),(Project_Register!$AA$21-Project_Register!$X$21)*(S260-S261)/(1-Project_Register!$AC$21))))</f>
        <v>0</v>
      </c>
      <c r="T262" s="67" t="n">
        <f aca="false">IF(T$5="A",0,IF((Project_Register!$AA$21-Project_Register!$X$21)&lt;=0,0,IF(1-Project_Register!$AC$21&lt;=0.000001,IF(Assumptions!T$99=Assumptions!$C$10+1,(Project_Register!$AA$21-Project_Register!$X$21),0),(Project_Register!$AA$21-Project_Register!$X$21)*(T260-T261)/(1-Project_Register!$AC$21))))</f>
        <v>203.32</v>
      </c>
      <c r="U262" s="67" t="n">
        <f aca="false">IF(U$5="A",0,IF((Project_Register!$AA$21-Project_Register!$X$21)&lt;=0,0,IF(1-Project_Register!$AC$21&lt;=0.000001,IF(Assumptions!U$99=Assumptions!$C$10+1,(Project_Register!$AA$21-Project_Register!$X$21),0),(Project_Register!$AA$21-Project_Register!$X$21)*(U260-U261)/(1-Project_Register!$AC$21))))</f>
        <v>484.84</v>
      </c>
      <c r="V262" s="67" t="n">
        <f aca="false">IF(V$5="A",0,IF((Project_Register!$AA$21-Project_Register!$X$21)&lt;=0,0,IF(1-Project_Register!$AC$21&lt;=0.000001,IF(Assumptions!V$99=Assumptions!$C$10+1,(Project_Register!$AA$21-Project_Register!$X$21),0),(Project_Register!$AA$21-Project_Register!$X$21)*(V260-V261)/(1-Project_Register!$AC$21))))</f>
        <v>578.68</v>
      </c>
      <c r="W262" s="67" t="n">
        <f aca="false">IF(W$5="A",0,IF((Project_Register!$AA$21-Project_Register!$X$21)&lt;=0,0,IF(1-Project_Register!$AC$21&lt;=0.000001,IF(Assumptions!W$99=Assumptions!$C$10+1,(Project_Register!$AA$21-Project_Register!$X$21),0),(Project_Register!$AA$21-Project_Register!$X$21)*(W260-W261)/(1-Project_Register!$AC$21))))</f>
        <v>484.84</v>
      </c>
      <c r="X262" s="67" t="n">
        <f aca="false">IF(X$5="A",0,IF((Project_Register!$AA$21-Project_Register!$X$21)&lt;=0,0,IF(1-Project_Register!$AC$21&lt;=0.000001,IF(Assumptions!X$99=Assumptions!$C$10+1,(Project_Register!$AA$21-Project_Register!$X$21),0),(Project_Register!$AA$21-Project_Register!$X$21)*(X260-X261)/(1-Project_Register!$AC$21))))</f>
        <v>203.32</v>
      </c>
      <c r="Y262" s="67" t="n">
        <f aca="false">IF(Y$5="A",0,IF((Project_Register!$AA$21-Project_Register!$X$21)&lt;=0,0,IF(1-Project_Register!$AC$21&lt;=0.000001,IF(Assumptions!Y$99=Assumptions!$C$10+1,(Project_Register!$AA$21-Project_Register!$X$21),0),(Project_Register!$AA$21-Project_Register!$X$21)*(Y260-Y261)/(1-Project_Register!$AC$21))))</f>
        <v>0</v>
      </c>
      <c r="Z262" s="67" t="n">
        <f aca="false">IF(Z$5="A",0,IF((Project_Register!$AA$21-Project_Register!$X$21)&lt;=0,0,IF(1-Project_Register!$AC$21&lt;=0.000001,IF(Assumptions!Z$99=Assumptions!$C$10+1,(Project_Register!$AA$21-Project_Register!$X$21),0),(Project_Register!$AA$21-Project_Register!$X$21)*(Z260-Z261)/(1-Project_Register!$AC$21))))</f>
        <v>0</v>
      </c>
      <c r="AA262" s="67" t="n">
        <f aca="false">IF(AA$5="A",0,IF((Project_Register!$AA$21-Project_Register!$X$21)&lt;=0,0,IF(1-Project_Register!$AC$21&lt;=0.000001,IF(Assumptions!AA$99=Assumptions!$C$10+1,(Project_Register!$AA$21-Project_Register!$X$21),0),(Project_Register!$AA$21-Project_Register!$X$21)*(AA260-AA261)/(1-Project_Register!$AC$21))))</f>
        <v>0</v>
      </c>
      <c r="AB262" s="67" t="n">
        <f aca="false">IF(AB$5="A",0,IF((Project_Register!$AA$21-Project_Register!$X$21)&lt;=0,0,IF(1-Project_Register!$AC$21&lt;=0.000001,IF(Assumptions!AB$99=Assumptions!$C$10+1,(Project_Register!$AA$21-Project_Register!$X$21),0),(Project_Register!$AA$21-Project_Register!$X$21)*(AB260-AB261)/(1-Project_Register!$AC$21))))</f>
        <v>0</v>
      </c>
    </row>
    <row r="263" customFormat="false" ht="15" hidden="false" customHeight="false" outlineLevel="0" collapsed="false">
      <c r="A263" s="28" t="s">
        <v>911</v>
      </c>
      <c r="B263" s="58" t="s">
        <v>912</v>
      </c>
      <c r="C263" s="66" t="n">
        <f aca="false">P263</f>
        <v>0</v>
      </c>
      <c r="D263" s="66" t="n">
        <f aca="false">AB263</f>
        <v>1955</v>
      </c>
      <c r="E263" s="67" t="n">
        <f aca="false">Project_Register!$P$21+E262</f>
        <v>0</v>
      </c>
      <c r="F263" s="72" t="n">
        <f aca="false">E263+F262</f>
        <v>0</v>
      </c>
      <c r="G263" s="72" t="n">
        <f aca="false">F263+G262</f>
        <v>0</v>
      </c>
      <c r="H263" s="72" t="n">
        <f aca="false">G263+H262</f>
        <v>0</v>
      </c>
      <c r="I263" s="72" t="n">
        <f aca="false">H263+I262</f>
        <v>0</v>
      </c>
      <c r="J263" s="72" t="n">
        <f aca="false">I263+J262</f>
        <v>0</v>
      </c>
      <c r="K263" s="72" t="n">
        <f aca="false">J263+K262</f>
        <v>0</v>
      </c>
      <c r="L263" s="72" t="n">
        <f aca="false">K263+L262</f>
        <v>0</v>
      </c>
      <c r="M263" s="72" t="n">
        <f aca="false">L263+M262</f>
        <v>0</v>
      </c>
      <c r="N263" s="72" t="n">
        <f aca="false">M263+N262</f>
        <v>0</v>
      </c>
      <c r="O263" s="72" t="n">
        <f aca="false">N263+O262</f>
        <v>0</v>
      </c>
      <c r="P263" s="72" t="n">
        <f aca="false">O263+P262</f>
        <v>0</v>
      </c>
      <c r="Q263" s="72" t="n">
        <f aca="false">P263+Q262</f>
        <v>0</v>
      </c>
      <c r="R263" s="72" t="n">
        <f aca="false">Q263+R262</f>
        <v>0</v>
      </c>
      <c r="S263" s="72" t="n">
        <f aca="false">R263+S262</f>
        <v>0</v>
      </c>
      <c r="T263" s="72" t="n">
        <f aca="false">S263+T262</f>
        <v>203.32</v>
      </c>
      <c r="U263" s="72" t="n">
        <f aca="false">T263+U262</f>
        <v>688.16</v>
      </c>
      <c r="V263" s="72" t="n">
        <f aca="false">U263+V262</f>
        <v>1266.84</v>
      </c>
      <c r="W263" s="72" t="n">
        <f aca="false">V263+W262</f>
        <v>1751.68</v>
      </c>
      <c r="X263" s="72" t="n">
        <f aca="false">W263+X262</f>
        <v>1955</v>
      </c>
      <c r="Y263" s="72" t="n">
        <f aca="false">X263+Y262</f>
        <v>1955</v>
      </c>
      <c r="Z263" s="72" t="n">
        <f aca="false">Y263+Z262</f>
        <v>1955</v>
      </c>
      <c r="AA263" s="72" t="n">
        <f aca="false">Z263+AA262</f>
        <v>1955</v>
      </c>
      <c r="AB263" s="72" t="n">
        <f aca="false">AA263+AB262</f>
        <v>1955</v>
      </c>
    </row>
    <row r="264" customFormat="false" ht="15" hidden="false" customHeight="false" outlineLevel="0" collapsed="false">
      <c r="A264" s="28" t="s">
        <v>913</v>
      </c>
      <c r="B264" s="58" t="s">
        <v>914</v>
      </c>
      <c r="C264" s="66" t="n">
        <f aca="false">P264</f>
        <v>1955</v>
      </c>
      <c r="D264" s="66" t="n">
        <f aca="false">AB264</f>
        <v>1955</v>
      </c>
      <c r="E264" s="67" t="n">
        <f aca="false">IF(E$5="A",Project_Register!$AA$21,Project_Register!$AA$21)</f>
        <v>1955</v>
      </c>
      <c r="F264" s="67" t="n">
        <f aca="false">IF(F$5="A",Project_Register!$AA$21,Project_Register!$AA$21)</f>
        <v>1955</v>
      </c>
      <c r="G264" s="67" t="n">
        <f aca="false">IF(G$5="A",Project_Register!$AA$21,Project_Register!$AA$21)</f>
        <v>1955</v>
      </c>
      <c r="H264" s="67" t="n">
        <f aca="false">IF(H$5="A",Project_Register!$AA$21,Project_Register!$AA$21)</f>
        <v>1955</v>
      </c>
      <c r="I264" s="67" t="n">
        <f aca="false">IF(I$5="A",Project_Register!$AA$21,Project_Register!$AA$21)</f>
        <v>1955</v>
      </c>
      <c r="J264" s="67" t="n">
        <f aca="false">IF(J$5="A",Project_Register!$AA$21,Project_Register!$AA$21)</f>
        <v>1955</v>
      </c>
      <c r="K264" s="67" t="n">
        <f aca="false">IF(K$5="A",Project_Register!$AA$21,Project_Register!$AA$21)</f>
        <v>1955</v>
      </c>
      <c r="L264" s="67" t="n">
        <f aca="false">IF(L$5="A",Project_Register!$AA$21,Project_Register!$AA$21)</f>
        <v>1955</v>
      </c>
      <c r="M264" s="67" t="n">
        <f aca="false">IF(M$5="A",Project_Register!$AA$21,Project_Register!$AA$21)</f>
        <v>1955</v>
      </c>
      <c r="N264" s="67" t="n">
        <f aca="false">IF(N$5="A",Project_Register!$AA$21,Project_Register!$AA$21)</f>
        <v>1955</v>
      </c>
      <c r="O264" s="67" t="n">
        <f aca="false">IF(O$5="A",Project_Register!$AA$21,Project_Register!$AA$21)</f>
        <v>1955</v>
      </c>
      <c r="P264" s="67" t="n">
        <f aca="false">IF(P$5="A",Project_Register!$AA$21,Project_Register!$AA$21)</f>
        <v>1955</v>
      </c>
      <c r="Q264" s="67" t="n">
        <f aca="false">IF(Q$5="A",Project_Register!$AA$21,Project_Register!$AA$21)</f>
        <v>1955</v>
      </c>
      <c r="R264" s="67" t="n">
        <f aca="false">IF(R$5="A",Project_Register!$AA$21,Project_Register!$AA$21)</f>
        <v>1955</v>
      </c>
      <c r="S264" s="67" t="n">
        <f aca="false">IF(S$5="A",Project_Register!$AA$21,Project_Register!$AA$21)</f>
        <v>1955</v>
      </c>
      <c r="T264" s="67" t="n">
        <f aca="false">IF(T$5="A",Project_Register!$AA$21,Project_Register!$AA$21)</f>
        <v>1955</v>
      </c>
      <c r="U264" s="67" t="n">
        <f aca="false">IF(U$5="A",Project_Register!$AA$21,Project_Register!$AA$21)</f>
        <v>1955</v>
      </c>
      <c r="V264" s="67" t="n">
        <f aca="false">IF(V$5="A",Project_Register!$AA$21,Project_Register!$AA$21)</f>
        <v>1955</v>
      </c>
      <c r="W264" s="67" t="n">
        <f aca="false">IF(W$5="A",Project_Register!$AA$21,Project_Register!$AA$21)</f>
        <v>1955</v>
      </c>
      <c r="X264" s="67" t="n">
        <f aca="false">IF(X$5="A",Project_Register!$AA$21,Project_Register!$AA$21)</f>
        <v>1955</v>
      </c>
      <c r="Y264" s="67" t="n">
        <f aca="false">IF(Y$5="A",Project_Register!$AA$21,Project_Register!$AA$21)</f>
        <v>1955</v>
      </c>
      <c r="Z264" s="67" t="n">
        <f aca="false">IF(Z$5="A",Project_Register!$AA$21,Project_Register!$AA$21)</f>
        <v>1955</v>
      </c>
      <c r="AA264" s="67" t="n">
        <f aca="false">IF(AA$5="A",Project_Register!$AA$21,Project_Register!$AA$21)</f>
        <v>1955</v>
      </c>
      <c r="AB264" s="67" t="n">
        <f aca="false">IF(AB$5="A",Project_Register!$AA$21,Project_Register!$AA$21)</f>
        <v>1955</v>
      </c>
    </row>
    <row r="265" customFormat="false" ht="15" hidden="false" customHeight="false" outlineLevel="0" collapsed="false">
      <c r="A265" s="28" t="s">
        <v>915</v>
      </c>
      <c r="B265" s="58" t="s">
        <v>916</v>
      </c>
      <c r="C265" s="61" t="n">
        <f aca="false">P265</f>
        <v>0</v>
      </c>
      <c r="D265" s="61" t="n">
        <f aca="false">AB265</f>
        <v>1</v>
      </c>
      <c r="E265" s="62" t="n">
        <f aca="false">IF(E264&lt;=0,0,MIN(1,E263/E264))</f>
        <v>0</v>
      </c>
      <c r="F265" s="62" t="n">
        <f aca="false">IF(F264&lt;=0,0,MIN(1,F263/F264))</f>
        <v>0</v>
      </c>
      <c r="G265" s="62" t="n">
        <f aca="false">IF(G264&lt;=0,0,MIN(1,G263/G264))</f>
        <v>0</v>
      </c>
      <c r="H265" s="62" t="n">
        <f aca="false">IF(H264&lt;=0,0,MIN(1,H263/H264))</f>
        <v>0</v>
      </c>
      <c r="I265" s="62" t="n">
        <f aca="false">IF(I264&lt;=0,0,MIN(1,I263/I264))</f>
        <v>0</v>
      </c>
      <c r="J265" s="62" t="n">
        <f aca="false">IF(J264&lt;=0,0,MIN(1,J263/J264))</f>
        <v>0</v>
      </c>
      <c r="K265" s="62" t="n">
        <f aca="false">IF(K264&lt;=0,0,MIN(1,K263/K264))</f>
        <v>0</v>
      </c>
      <c r="L265" s="62" t="n">
        <f aca="false">IF(L264&lt;=0,0,MIN(1,L263/L264))</f>
        <v>0</v>
      </c>
      <c r="M265" s="62" t="n">
        <f aca="false">IF(M264&lt;=0,0,MIN(1,M263/M264))</f>
        <v>0</v>
      </c>
      <c r="N265" s="62" t="n">
        <f aca="false">IF(N264&lt;=0,0,MIN(1,N263/N264))</f>
        <v>0</v>
      </c>
      <c r="O265" s="62" t="n">
        <f aca="false">IF(O264&lt;=0,0,MIN(1,O263/O264))</f>
        <v>0</v>
      </c>
      <c r="P265" s="62" t="n">
        <f aca="false">IF(P264&lt;=0,0,MIN(1,P263/P264))</f>
        <v>0</v>
      </c>
      <c r="Q265" s="62" t="n">
        <f aca="false">IF(Q264&lt;=0,0,MIN(1,Q263/Q264))</f>
        <v>0</v>
      </c>
      <c r="R265" s="62" t="n">
        <f aca="false">IF(R264&lt;=0,0,MIN(1,R263/R264))</f>
        <v>0</v>
      </c>
      <c r="S265" s="62" t="n">
        <f aca="false">IF(S264&lt;=0,0,MIN(1,S263/S264))</f>
        <v>0</v>
      </c>
      <c r="T265" s="62" t="n">
        <f aca="false">IF(T264&lt;=0,0,MIN(1,T263/T264))</f>
        <v>0.104</v>
      </c>
      <c r="U265" s="62" t="n">
        <f aca="false">IF(U264&lt;=0,0,MIN(1,U263/U264))</f>
        <v>0.352</v>
      </c>
      <c r="V265" s="62" t="n">
        <f aca="false">IF(V264&lt;=0,0,MIN(1,V263/V264))</f>
        <v>0.648</v>
      </c>
      <c r="W265" s="62" t="n">
        <f aca="false">IF(W264&lt;=0,0,MIN(1,W263/W264))</f>
        <v>0.896</v>
      </c>
      <c r="X265" s="62" t="n">
        <f aca="false">IF(X264&lt;=0,0,MIN(1,X263/X264))</f>
        <v>1</v>
      </c>
      <c r="Y265" s="62" t="n">
        <f aca="false">IF(Y264&lt;=0,0,MIN(1,Y263/Y264))</f>
        <v>1</v>
      </c>
      <c r="Z265" s="62" t="n">
        <f aca="false">IF(Z264&lt;=0,0,MIN(1,Z263/Z264))</f>
        <v>1</v>
      </c>
      <c r="AA265" s="62" t="n">
        <f aca="false">IF(AA264&lt;=0,0,MIN(1,AA263/AA264))</f>
        <v>1</v>
      </c>
      <c r="AB265" s="62" t="n">
        <f aca="false">IF(AB264&lt;=0,0,MIN(1,AB263/AB264))</f>
        <v>1</v>
      </c>
    </row>
    <row r="266" customFormat="false" ht="15" hidden="false" customHeight="false" outlineLevel="0" collapsed="false">
      <c r="A266" s="28" t="s">
        <v>917</v>
      </c>
      <c r="B266" s="58" t="s">
        <v>918</v>
      </c>
      <c r="C266" s="59" t="n">
        <f aca="false">P266</f>
        <v>204000</v>
      </c>
      <c r="D266" s="59" t="n">
        <f aca="false">AB266</f>
        <v>204000</v>
      </c>
      <c r="E266" s="60" t="n">
        <f aca="false">IF(E$5="A",0,Project_Register!$W$21)</f>
        <v>0</v>
      </c>
      <c r="F266" s="60" t="n">
        <f aca="false">IF(F$5="A",0,Project_Register!$W$21)</f>
        <v>0</v>
      </c>
      <c r="G266" s="60" t="n">
        <f aca="false">IF(G$5="A",0,Project_Register!$W$21)</f>
        <v>0</v>
      </c>
      <c r="H266" s="60" t="n">
        <f aca="false">IF(H$5="A",0,Project_Register!$W$21)</f>
        <v>0</v>
      </c>
      <c r="I266" s="60" t="n">
        <f aca="false">IF(I$5="A",0,Project_Register!$W$21)</f>
        <v>0</v>
      </c>
      <c r="J266" s="60" t="n">
        <f aca="false">IF(J$5="A",0,Project_Register!$W$21)</f>
        <v>0</v>
      </c>
      <c r="K266" s="60" t="n">
        <f aca="false">IF(K$5="A",0,Project_Register!$W$21)</f>
        <v>0</v>
      </c>
      <c r="L266" s="60" t="n">
        <f aca="false">IF(L$5="A",0,Project_Register!$W$21)</f>
        <v>0</v>
      </c>
      <c r="M266" s="60" t="n">
        <f aca="false">IF(M$5="A",0,Project_Register!$W$21)</f>
        <v>204000</v>
      </c>
      <c r="N266" s="60" t="n">
        <f aca="false">IF(N$5="A",0,Project_Register!$W$21)</f>
        <v>204000</v>
      </c>
      <c r="O266" s="60" t="n">
        <f aca="false">IF(O$5="A",0,Project_Register!$W$21)</f>
        <v>204000</v>
      </c>
      <c r="P266" s="60" t="n">
        <f aca="false">IF(P$5="A",0,Project_Register!$W$21)</f>
        <v>204000</v>
      </c>
      <c r="Q266" s="60" t="n">
        <f aca="false">IF(Q$5="A",0,Project_Register!$W$21)</f>
        <v>204000</v>
      </c>
      <c r="R266" s="60" t="n">
        <f aca="false">IF(R$5="A",0,Project_Register!$W$21)</f>
        <v>204000</v>
      </c>
      <c r="S266" s="60" t="n">
        <f aca="false">IF(S$5="A",0,Project_Register!$W$21)</f>
        <v>204000</v>
      </c>
      <c r="T266" s="60" t="n">
        <f aca="false">IF(T$5="A",0,Project_Register!$W$21)</f>
        <v>204000</v>
      </c>
      <c r="U266" s="60" t="n">
        <f aca="false">IF(U$5="A",0,Project_Register!$W$21)</f>
        <v>204000</v>
      </c>
      <c r="V266" s="60" t="n">
        <f aca="false">IF(V$5="A",0,Project_Register!$W$21)</f>
        <v>204000</v>
      </c>
      <c r="W266" s="60" t="n">
        <f aca="false">IF(W$5="A",0,Project_Register!$W$21)</f>
        <v>204000</v>
      </c>
      <c r="X266" s="60" t="n">
        <f aca="false">IF(X$5="A",0,Project_Register!$W$21)</f>
        <v>204000</v>
      </c>
      <c r="Y266" s="60" t="n">
        <f aca="false">IF(Y$5="A",0,Project_Register!$W$21)</f>
        <v>204000</v>
      </c>
      <c r="Z266" s="60" t="n">
        <f aca="false">IF(Z$5="A",0,Project_Register!$W$21)</f>
        <v>204000</v>
      </c>
      <c r="AA266" s="60" t="n">
        <f aca="false">IF(AA$5="A",0,Project_Register!$W$21)</f>
        <v>204000</v>
      </c>
      <c r="AB266" s="60" t="n">
        <f aca="false">IF(AB$5="A",0,Project_Register!$W$21)</f>
        <v>204000</v>
      </c>
    </row>
    <row r="267" customFormat="false" ht="15" hidden="false" customHeight="false" outlineLevel="0" collapsed="false">
      <c r="A267" s="28" t="s">
        <v>919</v>
      </c>
      <c r="B267" s="58" t="s">
        <v>920</v>
      </c>
      <c r="C267" s="59" t="n">
        <f aca="false">P267</f>
        <v>0</v>
      </c>
      <c r="D267" s="59" t="n">
        <f aca="false">AB267</f>
        <v>204000</v>
      </c>
      <c r="E267" s="60" t="n">
        <f aca="false">IF(E$5="A",Project_Register!$Q$21+0,E265*E266)</f>
        <v>0</v>
      </c>
      <c r="F267" s="71" t="n">
        <f aca="false">IF(F$5="A",E267+0,F265*F266)</f>
        <v>0</v>
      </c>
      <c r="G267" s="71" t="n">
        <f aca="false">IF(G$5="A",F267+0,G265*G266)</f>
        <v>0</v>
      </c>
      <c r="H267" s="71" t="n">
        <f aca="false">IF(H$5="A",G267+0,H265*H266)</f>
        <v>0</v>
      </c>
      <c r="I267" s="71" t="n">
        <f aca="false">IF(I$5="A",H267+0,I265*I266)</f>
        <v>0</v>
      </c>
      <c r="J267" s="71" t="n">
        <f aca="false">IF(J$5="A",I267+0,J265*J266)</f>
        <v>0</v>
      </c>
      <c r="K267" s="71" t="n">
        <f aca="false">IF(K$5="A",J267+0,K265*K266)</f>
        <v>0</v>
      </c>
      <c r="L267" s="71" t="n">
        <f aca="false">IF(L$5="A",K267+0,L265*L266)</f>
        <v>0</v>
      </c>
      <c r="M267" s="71" t="n">
        <f aca="false">IF(M$5="A",L267+0,M265*M266)</f>
        <v>0</v>
      </c>
      <c r="N267" s="71" t="n">
        <f aca="false">IF(N$5="A",M267+0,N265*N266)</f>
        <v>0</v>
      </c>
      <c r="O267" s="71" t="n">
        <f aca="false">IF(O$5="A",N267+0,O265*O266)</f>
        <v>0</v>
      </c>
      <c r="P267" s="71" t="n">
        <f aca="false">IF(P$5="A",O267+0,P265*P266)</f>
        <v>0</v>
      </c>
      <c r="Q267" s="71" t="n">
        <f aca="false">IF(Q$5="A",P267+0,Q265*Q266)</f>
        <v>0</v>
      </c>
      <c r="R267" s="71" t="n">
        <f aca="false">IF(R$5="A",Q267+0,R265*R266)</f>
        <v>0</v>
      </c>
      <c r="S267" s="71" t="n">
        <f aca="false">IF(S$5="A",R267+0,S265*S266)</f>
        <v>0</v>
      </c>
      <c r="T267" s="71" t="n">
        <f aca="false">IF(T$5="A",S267+0,T265*T266)</f>
        <v>21216</v>
      </c>
      <c r="U267" s="71" t="n">
        <f aca="false">IF(U$5="A",T267+0,U265*U266)</f>
        <v>71808</v>
      </c>
      <c r="V267" s="71" t="n">
        <f aca="false">IF(V$5="A",U267+0,V265*V266)</f>
        <v>132192</v>
      </c>
      <c r="W267" s="71" t="n">
        <f aca="false">IF(W$5="A",V267+0,W265*W266)</f>
        <v>182784</v>
      </c>
      <c r="X267" s="71" t="n">
        <f aca="false">IF(X$5="A",W267+0,X265*X266)</f>
        <v>204000</v>
      </c>
      <c r="Y267" s="71" t="n">
        <f aca="false">IF(Y$5="A",X267+0,Y265*Y266)</f>
        <v>204000</v>
      </c>
      <c r="Z267" s="71" t="n">
        <f aca="false">IF(Z$5="A",Y267+0,Z265*Z266)</f>
        <v>204000</v>
      </c>
      <c r="AA267" s="71" t="n">
        <f aca="false">IF(AA$5="A",Z267+0,AA265*AA266)</f>
        <v>204000</v>
      </c>
      <c r="AB267" s="71" t="n">
        <f aca="false">IF(AB$5="A",AA267+0,AB265*AB266)</f>
        <v>204000</v>
      </c>
    </row>
    <row r="268" customFormat="false" ht="15" hidden="false" customHeight="false" outlineLevel="0" collapsed="false">
      <c r="A268" s="68" t="s">
        <v>921</v>
      </c>
      <c r="B268" s="69" t="s">
        <v>922</v>
      </c>
      <c r="C268" s="70" t="n">
        <f aca="false">SUM(E268:P268)</f>
        <v>0</v>
      </c>
      <c r="D268" s="70" t="n">
        <f aca="false">SUM(Q268:AB268)</f>
        <v>204000</v>
      </c>
      <c r="E268" s="74" t="n">
        <f aca="false">E267-Project_Register!$Q$21</f>
        <v>0</v>
      </c>
      <c r="F268" s="70" t="n">
        <f aca="false">F267-E267</f>
        <v>0</v>
      </c>
      <c r="G268" s="70" t="n">
        <f aca="false">G267-F267</f>
        <v>0</v>
      </c>
      <c r="H268" s="70" t="n">
        <f aca="false">H267-G267</f>
        <v>0</v>
      </c>
      <c r="I268" s="70" t="n">
        <f aca="false">I267-H267</f>
        <v>0</v>
      </c>
      <c r="J268" s="70" t="n">
        <f aca="false">J267-I267</f>
        <v>0</v>
      </c>
      <c r="K268" s="70" t="n">
        <f aca="false">K267-J267</f>
        <v>0</v>
      </c>
      <c r="L268" s="70" t="n">
        <f aca="false">L267-K267</f>
        <v>0</v>
      </c>
      <c r="M268" s="70" t="n">
        <f aca="false">M267-L267</f>
        <v>0</v>
      </c>
      <c r="N268" s="70" t="n">
        <f aca="false">N267-M267</f>
        <v>0</v>
      </c>
      <c r="O268" s="70" t="n">
        <f aca="false">O267-N267</f>
        <v>0</v>
      </c>
      <c r="P268" s="70" t="n">
        <f aca="false">P267-O267</f>
        <v>0</v>
      </c>
      <c r="Q268" s="70" t="n">
        <f aca="false">Q267-P267</f>
        <v>0</v>
      </c>
      <c r="R268" s="70" t="n">
        <f aca="false">R267-Q267</f>
        <v>0</v>
      </c>
      <c r="S268" s="70" t="n">
        <f aca="false">S267-R267</f>
        <v>0</v>
      </c>
      <c r="T268" s="70" t="n">
        <f aca="false">T267-S267</f>
        <v>21216</v>
      </c>
      <c r="U268" s="70" t="n">
        <f aca="false">U267-T267</f>
        <v>50592</v>
      </c>
      <c r="V268" s="70" t="n">
        <f aca="false">V267-U267</f>
        <v>60384</v>
      </c>
      <c r="W268" s="70" t="n">
        <f aca="false">W267-V267</f>
        <v>50592</v>
      </c>
      <c r="X268" s="70" t="n">
        <f aca="false">X267-W267</f>
        <v>21216</v>
      </c>
      <c r="Y268" s="70" t="n">
        <f aca="false">Y267-X267</f>
        <v>0</v>
      </c>
      <c r="Z268" s="70" t="n">
        <f aca="false">Z267-Y267</f>
        <v>0</v>
      </c>
      <c r="AA268" s="70" t="n">
        <f aca="false">AA267-Z267</f>
        <v>0</v>
      </c>
      <c r="AB268" s="70" t="n">
        <f aca="false">AB267-AA267</f>
        <v>0</v>
      </c>
    </row>
    <row r="269" customFormat="false" ht="15" hidden="false" customHeight="false" outlineLevel="0" collapsed="false">
      <c r="A269" s="28" t="s">
        <v>923</v>
      </c>
      <c r="B269" s="58" t="s">
        <v>924</v>
      </c>
      <c r="C269" s="59" t="n">
        <f aca="false">P269</f>
        <v>0</v>
      </c>
      <c r="D269" s="59" t="n">
        <f aca="false">AB269</f>
        <v>204000</v>
      </c>
      <c r="E269" s="60" t="n">
        <f aca="false">E266*(Assumptions!$C$71*(Assumptions!E$99&gt;=Project_Register!$T$21)+Assumptions!$C$72*(Assumptions!E$99&gt;=Project_Register!$V$21)+Assumptions!$C$73*(Assumptions!E$99&gt;=Project_Register!$U$21))</f>
        <v>0</v>
      </c>
      <c r="F269" s="60" t="n">
        <f aca="false">F266*(Assumptions!$C$71*(Assumptions!F$99&gt;=Project_Register!$T$21)+Assumptions!$C$72*(Assumptions!F$99&gt;=Project_Register!$V$21)+Assumptions!$C$73*(Assumptions!F$99&gt;=Project_Register!$U$21))</f>
        <v>0</v>
      </c>
      <c r="G269" s="60" t="n">
        <f aca="false">G266*(Assumptions!$C$71*(Assumptions!G$99&gt;=Project_Register!$T$21)+Assumptions!$C$72*(Assumptions!G$99&gt;=Project_Register!$V$21)+Assumptions!$C$73*(Assumptions!G$99&gt;=Project_Register!$U$21))</f>
        <v>0</v>
      </c>
      <c r="H269" s="60" t="n">
        <f aca="false">H266*(Assumptions!$C$71*(Assumptions!H$99&gt;=Project_Register!$T$21)+Assumptions!$C$72*(Assumptions!H$99&gt;=Project_Register!$V$21)+Assumptions!$C$73*(Assumptions!H$99&gt;=Project_Register!$U$21))</f>
        <v>0</v>
      </c>
      <c r="I269" s="60" t="n">
        <f aca="false">I266*(Assumptions!$C$71*(Assumptions!I$99&gt;=Project_Register!$T$21)+Assumptions!$C$72*(Assumptions!I$99&gt;=Project_Register!$V$21)+Assumptions!$C$73*(Assumptions!I$99&gt;=Project_Register!$U$21))</f>
        <v>0</v>
      </c>
      <c r="J269" s="60" t="n">
        <f aca="false">J266*(Assumptions!$C$71*(Assumptions!J$99&gt;=Project_Register!$T$21)+Assumptions!$C$72*(Assumptions!J$99&gt;=Project_Register!$V$21)+Assumptions!$C$73*(Assumptions!J$99&gt;=Project_Register!$U$21))</f>
        <v>0</v>
      </c>
      <c r="K269" s="60" t="n">
        <f aca="false">K266*(Assumptions!$C$71*(Assumptions!K$99&gt;=Project_Register!$T$21)+Assumptions!$C$72*(Assumptions!K$99&gt;=Project_Register!$V$21)+Assumptions!$C$73*(Assumptions!K$99&gt;=Project_Register!$U$21))</f>
        <v>0</v>
      </c>
      <c r="L269" s="60" t="n">
        <f aca="false">L266*(Assumptions!$C$71*(Assumptions!L$99&gt;=Project_Register!$T$21)+Assumptions!$C$72*(Assumptions!L$99&gt;=Project_Register!$V$21)+Assumptions!$C$73*(Assumptions!L$99&gt;=Project_Register!$U$21))</f>
        <v>0</v>
      </c>
      <c r="M269" s="60" t="n">
        <f aca="false">M266*(Assumptions!$C$71*(Assumptions!M$99&gt;=Project_Register!$T$21)+Assumptions!$C$72*(Assumptions!M$99&gt;=Project_Register!$V$21)+Assumptions!$C$73*(Assumptions!M$99&gt;=Project_Register!$U$21))</f>
        <v>0</v>
      </c>
      <c r="N269" s="60" t="n">
        <f aca="false">N266*(Assumptions!$C$71*(Assumptions!N$99&gt;=Project_Register!$T$21)+Assumptions!$C$72*(Assumptions!N$99&gt;=Project_Register!$V$21)+Assumptions!$C$73*(Assumptions!N$99&gt;=Project_Register!$U$21))</f>
        <v>0</v>
      </c>
      <c r="O269" s="60" t="n">
        <f aca="false">O266*(Assumptions!$C$71*(Assumptions!O$99&gt;=Project_Register!$T$21)+Assumptions!$C$72*(Assumptions!O$99&gt;=Project_Register!$V$21)+Assumptions!$C$73*(Assumptions!O$99&gt;=Project_Register!$U$21))</f>
        <v>0</v>
      </c>
      <c r="P269" s="60" t="n">
        <f aca="false">P266*(Assumptions!$C$71*(Assumptions!P$99&gt;=Project_Register!$T$21)+Assumptions!$C$72*(Assumptions!P$99&gt;=Project_Register!$V$21)+Assumptions!$C$73*(Assumptions!P$99&gt;=Project_Register!$U$21))</f>
        <v>0</v>
      </c>
      <c r="Q269" s="60" t="n">
        <f aca="false">Q266*(Assumptions!$C$71*(Assumptions!Q$99&gt;=Project_Register!$T$21)+Assumptions!$C$72*(Assumptions!Q$99&gt;=Project_Register!$V$21)+Assumptions!$C$73*(Assumptions!Q$99&gt;=Project_Register!$U$21))</f>
        <v>0</v>
      </c>
      <c r="R269" s="60" t="n">
        <f aca="false">R266*(Assumptions!$C$71*(Assumptions!R$99&gt;=Project_Register!$T$21)+Assumptions!$C$72*(Assumptions!R$99&gt;=Project_Register!$V$21)+Assumptions!$C$73*(Assumptions!R$99&gt;=Project_Register!$U$21))</f>
        <v>0</v>
      </c>
      <c r="S269" s="60" t="n">
        <f aca="false">S266*(Assumptions!$C$71*(Assumptions!S$99&gt;=Project_Register!$T$21)+Assumptions!$C$72*(Assumptions!S$99&gt;=Project_Register!$V$21)+Assumptions!$C$73*(Assumptions!S$99&gt;=Project_Register!$U$21))</f>
        <v>0</v>
      </c>
      <c r="T269" s="60" t="n">
        <f aca="false">T266*(Assumptions!$C$71*(Assumptions!T$99&gt;=Project_Register!$T$21)+Assumptions!$C$72*(Assumptions!T$99&gt;=Project_Register!$V$21)+Assumptions!$C$73*(Assumptions!T$99&gt;=Project_Register!$U$21))</f>
        <v>61200</v>
      </c>
      <c r="U269" s="60" t="n">
        <f aca="false">U266*(Assumptions!$C$71*(Assumptions!U$99&gt;=Project_Register!$T$21)+Assumptions!$C$72*(Assumptions!U$99&gt;=Project_Register!$V$21)+Assumptions!$C$73*(Assumptions!U$99&gt;=Project_Register!$U$21))</f>
        <v>61200</v>
      </c>
      <c r="V269" s="60" t="n">
        <f aca="false">V266*(Assumptions!$C$71*(Assumptions!V$99&gt;=Project_Register!$T$21)+Assumptions!$C$72*(Assumptions!V$99&gt;=Project_Register!$V$21)+Assumptions!$C$73*(Assumptions!V$99&gt;=Project_Register!$U$21))</f>
        <v>142800</v>
      </c>
      <c r="W269" s="60" t="n">
        <f aca="false">W266*(Assumptions!$C$71*(Assumptions!W$99&gt;=Project_Register!$T$21)+Assumptions!$C$72*(Assumptions!W$99&gt;=Project_Register!$V$21)+Assumptions!$C$73*(Assumptions!W$99&gt;=Project_Register!$U$21))</f>
        <v>142800</v>
      </c>
      <c r="X269" s="60" t="n">
        <f aca="false">X266*(Assumptions!$C$71*(Assumptions!X$99&gt;=Project_Register!$T$21)+Assumptions!$C$72*(Assumptions!X$99&gt;=Project_Register!$V$21)+Assumptions!$C$73*(Assumptions!X$99&gt;=Project_Register!$U$21))</f>
        <v>204000</v>
      </c>
      <c r="Y269" s="60" t="n">
        <f aca="false">Y266*(Assumptions!$C$71*(Assumptions!Y$99&gt;=Project_Register!$T$21)+Assumptions!$C$72*(Assumptions!Y$99&gt;=Project_Register!$V$21)+Assumptions!$C$73*(Assumptions!Y$99&gt;=Project_Register!$U$21))</f>
        <v>204000</v>
      </c>
      <c r="Z269" s="60" t="n">
        <f aca="false">Z266*(Assumptions!$C$71*(Assumptions!Z$99&gt;=Project_Register!$T$21)+Assumptions!$C$72*(Assumptions!Z$99&gt;=Project_Register!$V$21)+Assumptions!$C$73*(Assumptions!Z$99&gt;=Project_Register!$U$21))</f>
        <v>204000</v>
      </c>
      <c r="AA269" s="60" t="n">
        <f aca="false">AA266*(Assumptions!$C$71*(Assumptions!AA$99&gt;=Project_Register!$T$21)+Assumptions!$C$72*(Assumptions!AA$99&gt;=Project_Register!$V$21)+Assumptions!$C$73*(Assumptions!AA$99&gt;=Project_Register!$U$21))</f>
        <v>204000</v>
      </c>
      <c r="AB269" s="60" t="n">
        <f aca="false">AB266*(Assumptions!$C$71*(Assumptions!AB$99&gt;=Project_Register!$T$21)+Assumptions!$C$72*(Assumptions!AB$99&gt;=Project_Register!$V$21)+Assumptions!$C$73*(Assumptions!AB$99&gt;=Project_Register!$U$21))</f>
        <v>204000</v>
      </c>
    </row>
    <row r="270" customFormat="false" ht="15" hidden="false" customHeight="false" outlineLevel="0" collapsed="false">
      <c r="A270" s="28" t="s">
        <v>925</v>
      </c>
      <c r="B270" s="58" t="s">
        <v>926</v>
      </c>
      <c r="C270" s="59" t="n">
        <f aca="false">SUM(E270:P270)</f>
        <v>0</v>
      </c>
      <c r="D270" s="59" t="n">
        <f aca="false">SUM(Q270:AB270)</f>
        <v>204000</v>
      </c>
      <c r="E270" s="60" t="n">
        <f aca="false">IF(E$5="A",0,MAX(0,E269-Project_Register!$R$21))</f>
        <v>0</v>
      </c>
      <c r="F270" s="71" t="n">
        <f aca="false">IF(F$5="A",0,MAX(0,F269-E271))</f>
        <v>0</v>
      </c>
      <c r="G270" s="71" t="n">
        <f aca="false">IF(G$5="A",0,MAX(0,G269-F271))</f>
        <v>0</v>
      </c>
      <c r="H270" s="71" t="n">
        <f aca="false">IF(H$5="A",0,MAX(0,H269-G271))</f>
        <v>0</v>
      </c>
      <c r="I270" s="71" t="n">
        <f aca="false">IF(I$5="A",0,MAX(0,I269-H271))</f>
        <v>0</v>
      </c>
      <c r="J270" s="71" t="n">
        <f aca="false">IF(J$5="A",0,MAX(0,J269-I271))</f>
        <v>0</v>
      </c>
      <c r="K270" s="71" t="n">
        <f aca="false">IF(K$5="A",0,MAX(0,K269-J271))</f>
        <v>0</v>
      </c>
      <c r="L270" s="71" t="n">
        <f aca="false">IF(L$5="A",0,MAX(0,L269-K271))</f>
        <v>0</v>
      </c>
      <c r="M270" s="71" t="n">
        <f aca="false">IF(M$5="A",0,MAX(0,M269-L271))</f>
        <v>0</v>
      </c>
      <c r="N270" s="71" t="n">
        <f aca="false">IF(N$5="A",0,MAX(0,N269-M271))</f>
        <v>0</v>
      </c>
      <c r="O270" s="71" t="n">
        <f aca="false">IF(O$5="A",0,MAX(0,O269-N271))</f>
        <v>0</v>
      </c>
      <c r="P270" s="71" t="n">
        <f aca="false">IF(P$5="A",0,MAX(0,P269-O271))</f>
        <v>0</v>
      </c>
      <c r="Q270" s="71" t="n">
        <f aca="false">IF(Q$5="A",0,MAX(0,Q269-P271))</f>
        <v>0</v>
      </c>
      <c r="R270" s="71" t="n">
        <f aca="false">IF(R$5="A",0,MAX(0,R269-Q271))</f>
        <v>0</v>
      </c>
      <c r="S270" s="71" t="n">
        <f aca="false">IF(S$5="A",0,MAX(0,S269-R271))</f>
        <v>0</v>
      </c>
      <c r="T270" s="71" t="n">
        <f aca="false">IF(T$5="A",0,MAX(0,T269-S271))</f>
        <v>61200</v>
      </c>
      <c r="U270" s="71" t="n">
        <f aca="false">IF(U$5="A",0,MAX(0,U269-T271))</f>
        <v>0</v>
      </c>
      <c r="V270" s="71" t="n">
        <f aca="false">IF(V$5="A",0,MAX(0,V269-U271))</f>
        <v>81600</v>
      </c>
      <c r="W270" s="71" t="n">
        <f aca="false">IF(W$5="A",0,MAX(0,W269-V271))</f>
        <v>0</v>
      </c>
      <c r="X270" s="71" t="n">
        <f aca="false">IF(X$5="A",0,MAX(0,X269-W271))</f>
        <v>61200</v>
      </c>
      <c r="Y270" s="71" t="n">
        <f aca="false">IF(Y$5="A",0,MAX(0,Y269-X271))</f>
        <v>0</v>
      </c>
      <c r="Z270" s="71" t="n">
        <f aca="false">IF(Z$5="A",0,MAX(0,Z269-Y271))</f>
        <v>0</v>
      </c>
      <c r="AA270" s="71" t="n">
        <f aca="false">IF(AA$5="A",0,MAX(0,AA269-Z271))</f>
        <v>0</v>
      </c>
      <c r="AB270" s="71" t="n">
        <f aca="false">IF(AB$5="A",0,MAX(0,AB269-AA271))</f>
        <v>0</v>
      </c>
    </row>
    <row r="271" customFormat="false" ht="15" hidden="false" customHeight="false" outlineLevel="0" collapsed="false">
      <c r="A271" s="28" t="s">
        <v>927</v>
      </c>
      <c r="B271" s="58"/>
      <c r="C271" s="59" t="n">
        <f aca="false">P271</f>
        <v>0</v>
      </c>
      <c r="D271" s="59" t="n">
        <f aca="false">AB271</f>
        <v>204000</v>
      </c>
      <c r="E271" s="60" t="n">
        <f aca="false">Project_Register!$R$21+E270</f>
        <v>0</v>
      </c>
      <c r="F271" s="71" t="n">
        <f aca="false">E271+F270</f>
        <v>0</v>
      </c>
      <c r="G271" s="71" t="n">
        <f aca="false">F271+G270</f>
        <v>0</v>
      </c>
      <c r="H271" s="71" t="n">
        <f aca="false">G271+H270</f>
        <v>0</v>
      </c>
      <c r="I271" s="71" t="n">
        <f aca="false">H271+I270</f>
        <v>0</v>
      </c>
      <c r="J271" s="71" t="n">
        <f aca="false">I271+J270</f>
        <v>0</v>
      </c>
      <c r="K271" s="71" t="n">
        <f aca="false">J271+K270</f>
        <v>0</v>
      </c>
      <c r="L271" s="71" t="n">
        <f aca="false">K271+L270</f>
        <v>0</v>
      </c>
      <c r="M271" s="71" t="n">
        <f aca="false">L271+M270</f>
        <v>0</v>
      </c>
      <c r="N271" s="71" t="n">
        <f aca="false">M271+N270</f>
        <v>0</v>
      </c>
      <c r="O271" s="71" t="n">
        <f aca="false">N271+O270</f>
        <v>0</v>
      </c>
      <c r="P271" s="71" t="n">
        <f aca="false">O271+P270</f>
        <v>0</v>
      </c>
      <c r="Q271" s="71" t="n">
        <f aca="false">P271+Q270</f>
        <v>0</v>
      </c>
      <c r="R271" s="71" t="n">
        <f aca="false">Q271+R270</f>
        <v>0</v>
      </c>
      <c r="S271" s="71" t="n">
        <f aca="false">R271+S270</f>
        <v>0</v>
      </c>
      <c r="T271" s="71" t="n">
        <f aca="false">S271+T270</f>
        <v>61200</v>
      </c>
      <c r="U271" s="71" t="n">
        <f aca="false">T271+U270</f>
        <v>61200</v>
      </c>
      <c r="V271" s="71" t="n">
        <f aca="false">U271+V270</f>
        <v>142800</v>
      </c>
      <c r="W271" s="71" t="n">
        <f aca="false">V271+W270</f>
        <v>142800</v>
      </c>
      <c r="X271" s="71" t="n">
        <f aca="false">W271+X270</f>
        <v>204000</v>
      </c>
      <c r="Y271" s="71" t="n">
        <f aca="false">X271+Y270</f>
        <v>204000</v>
      </c>
      <c r="Z271" s="71" t="n">
        <f aca="false">Y271+Z270</f>
        <v>204000</v>
      </c>
      <c r="AA271" s="71" t="n">
        <f aca="false">Z271+AA270</f>
        <v>204000</v>
      </c>
      <c r="AB271" s="71" t="n">
        <f aca="false">AA271+AB270</f>
        <v>204000</v>
      </c>
    </row>
    <row r="272" customFormat="false" ht="15" hidden="false" customHeight="false" outlineLevel="0" collapsed="false">
      <c r="A272" s="28" t="s">
        <v>928</v>
      </c>
      <c r="B272" s="58" t="s">
        <v>929</v>
      </c>
      <c r="C272" s="59" t="n">
        <f aca="false">P272</f>
        <v>0</v>
      </c>
      <c r="D272" s="59" t="n">
        <f aca="false">AB272</f>
        <v>0</v>
      </c>
      <c r="E272" s="71" t="n">
        <f aca="false">E267-E271</f>
        <v>0</v>
      </c>
      <c r="F272" s="71" t="n">
        <f aca="false">F267-F271</f>
        <v>0</v>
      </c>
      <c r="G272" s="71" t="n">
        <f aca="false">G267-G271</f>
        <v>0</v>
      </c>
      <c r="H272" s="71" t="n">
        <f aca="false">H267-H271</f>
        <v>0</v>
      </c>
      <c r="I272" s="71" t="n">
        <f aca="false">I267-I271</f>
        <v>0</v>
      </c>
      <c r="J272" s="71" t="n">
        <f aca="false">J267-J271</f>
        <v>0</v>
      </c>
      <c r="K272" s="71" t="n">
        <f aca="false">K267-K271</f>
        <v>0</v>
      </c>
      <c r="L272" s="71" t="n">
        <f aca="false">L267-L271</f>
        <v>0</v>
      </c>
      <c r="M272" s="71" t="n">
        <f aca="false">M267-M271</f>
        <v>0</v>
      </c>
      <c r="N272" s="71" t="n">
        <f aca="false">N267-N271</f>
        <v>0</v>
      </c>
      <c r="O272" s="71" t="n">
        <f aca="false">O267-O271</f>
        <v>0</v>
      </c>
      <c r="P272" s="71" t="n">
        <f aca="false">P267-P271</f>
        <v>0</v>
      </c>
      <c r="Q272" s="71" t="n">
        <f aca="false">Q267-Q271</f>
        <v>0</v>
      </c>
      <c r="R272" s="71" t="n">
        <f aca="false">R267-R271</f>
        <v>0</v>
      </c>
      <c r="S272" s="71" t="n">
        <f aca="false">S267-S271</f>
        <v>0</v>
      </c>
      <c r="T272" s="71" t="n">
        <f aca="false">T267-T271</f>
        <v>-39984</v>
      </c>
      <c r="U272" s="71" t="n">
        <f aca="false">U267-U271</f>
        <v>10608</v>
      </c>
      <c r="V272" s="71" t="n">
        <f aca="false">V267-V271</f>
        <v>-10608</v>
      </c>
      <c r="W272" s="71" t="n">
        <f aca="false">W267-W271</f>
        <v>39984</v>
      </c>
      <c r="X272" s="71" t="n">
        <f aca="false">X267-X271</f>
        <v>0</v>
      </c>
      <c r="Y272" s="71" t="n">
        <f aca="false">Y267-Y271</f>
        <v>0</v>
      </c>
      <c r="Z272" s="71" t="n">
        <f aca="false">Z267-Z271</f>
        <v>0</v>
      </c>
      <c r="AA272" s="71" t="n">
        <f aca="false">AA267-AA271</f>
        <v>0</v>
      </c>
      <c r="AB272" s="71" t="n">
        <f aca="false">AB267-AB271</f>
        <v>0</v>
      </c>
    </row>
    <row r="273" customFormat="false" ht="15" hidden="false" customHeight="false" outlineLevel="0" collapsed="false">
      <c r="A273" s="28" t="s">
        <v>930</v>
      </c>
      <c r="B273" s="58"/>
      <c r="C273" s="59" t="n">
        <f aca="false">P273</f>
        <v>204000</v>
      </c>
      <c r="D273" s="59" t="n">
        <f aca="false">AB273</f>
        <v>0</v>
      </c>
      <c r="E273" s="71" t="n">
        <f aca="false">MAX(0,E266-E267)</f>
        <v>0</v>
      </c>
      <c r="F273" s="71" t="n">
        <f aca="false">MAX(0,F266-F267)</f>
        <v>0</v>
      </c>
      <c r="G273" s="71" t="n">
        <f aca="false">MAX(0,G266-G267)</f>
        <v>0</v>
      </c>
      <c r="H273" s="71" t="n">
        <f aca="false">MAX(0,H266-H267)</f>
        <v>0</v>
      </c>
      <c r="I273" s="71" t="n">
        <f aca="false">MAX(0,I266-I267)</f>
        <v>0</v>
      </c>
      <c r="J273" s="71" t="n">
        <f aca="false">MAX(0,J266-J267)</f>
        <v>0</v>
      </c>
      <c r="K273" s="71" t="n">
        <f aca="false">MAX(0,K266-K267)</f>
        <v>0</v>
      </c>
      <c r="L273" s="71" t="n">
        <f aca="false">MAX(0,L266-L267)</f>
        <v>0</v>
      </c>
      <c r="M273" s="71" t="n">
        <f aca="false">MAX(0,M266-M267)</f>
        <v>204000</v>
      </c>
      <c r="N273" s="71" t="n">
        <f aca="false">MAX(0,N266-N267)</f>
        <v>204000</v>
      </c>
      <c r="O273" s="71" t="n">
        <f aca="false">MAX(0,O266-O267)</f>
        <v>204000</v>
      </c>
      <c r="P273" s="71" t="n">
        <f aca="false">MAX(0,P266-P267)</f>
        <v>204000</v>
      </c>
      <c r="Q273" s="71" t="n">
        <f aca="false">MAX(0,Q266-Q267)</f>
        <v>204000</v>
      </c>
      <c r="R273" s="71" t="n">
        <f aca="false">MAX(0,R266-R267)</f>
        <v>204000</v>
      </c>
      <c r="S273" s="71" t="n">
        <f aca="false">MAX(0,S266-S267)</f>
        <v>204000</v>
      </c>
      <c r="T273" s="71" t="n">
        <f aca="false">MAX(0,T266-T267)</f>
        <v>182784</v>
      </c>
      <c r="U273" s="71" t="n">
        <f aca="false">MAX(0,U266-U267)</f>
        <v>132192</v>
      </c>
      <c r="V273" s="71" t="n">
        <f aca="false">MAX(0,V266-V267)</f>
        <v>71808</v>
      </c>
      <c r="W273" s="71" t="n">
        <f aca="false">MAX(0,W266-W267)</f>
        <v>21216</v>
      </c>
      <c r="X273" s="71" t="n">
        <f aca="false">MAX(0,X266-X267)</f>
        <v>0</v>
      </c>
      <c r="Y273" s="71" t="n">
        <f aca="false">MAX(0,Y266-Y267)</f>
        <v>0</v>
      </c>
      <c r="Z273" s="71" t="n">
        <f aca="false">MAX(0,Z266-Z267)</f>
        <v>0</v>
      </c>
      <c r="AA273" s="71" t="n">
        <f aca="false">MAX(0,AA266-AA267)</f>
        <v>0</v>
      </c>
      <c r="AB273" s="71" t="n">
        <f aca="false">MAX(0,AB266-AB267)</f>
        <v>0</v>
      </c>
    </row>
    <row r="275" customFormat="false" ht="15" hidden="false" customHeight="false" outlineLevel="0" collapsed="false">
      <c r="A275" s="22" t="s">
        <v>954</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row>
    <row r="276" customFormat="false" ht="15" hidden="false" customHeight="false" outlineLevel="0" collapsed="false">
      <c r="A276" s="28" t="s">
        <v>905</v>
      </c>
      <c r="B276" s="58" t="s">
        <v>906</v>
      </c>
      <c r="E276" s="112" t="n">
        <f aca="false">MIN(1,MAX(0,(Assumptions!E$99-Project_Register!$T$22+1)/(Project_Register!$U$22-Project_Register!$T$22+1)))</f>
        <v>0</v>
      </c>
      <c r="F276" s="112" t="n">
        <f aca="false">MIN(1,MAX(0,(Assumptions!F$99-Project_Register!$T$22+1)/(Project_Register!$U$22-Project_Register!$T$22+1)))</f>
        <v>0</v>
      </c>
      <c r="G276" s="112" t="n">
        <f aca="false">MIN(1,MAX(0,(Assumptions!G$99-Project_Register!$T$22+1)/(Project_Register!$U$22-Project_Register!$T$22+1)))</f>
        <v>0</v>
      </c>
      <c r="H276" s="112" t="n">
        <f aca="false">MIN(1,MAX(0,(Assumptions!H$99-Project_Register!$T$22+1)/(Project_Register!$U$22-Project_Register!$T$22+1)))</f>
        <v>0</v>
      </c>
      <c r="I276" s="112" t="n">
        <f aca="false">MIN(1,MAX(0,(Assumptions!I$99-Project_Register!$T$22+1)/(Project_Register!$U$22-Project_Register!$T$22+1)))</f>
        <v>0</v>
      </c>
      <c r="J276" s="112" t="n">
        <f aca="false">MIN(1,MAX(0,(Assumptions!J$99-Project_Register!$T$22+1)/(Project_Register!$U$22-Project_Register!$T$22+1)))</f>
        <v>0</v>
      </c>
      <c r="K276" s="112" t="n">
        <f aca="false">MIN(1,MAX(0,(Assumptions!K$99-Project_Register!$T$22+1)/(Project_Register!$U$22-Project_Register!$T$22+1)))</f>
        <v>0</v>
      </c>
      <c r="L276" s="112" t="n">
        <f aca="false">MIN(1,MAX(0,(Assumptions!L$99-Project_Register!$T$22+1)/(Project_Register!$U$22-Project_Register!$T$22+1)))</f>
        <v>0</v>
      </c>
      <c r="M276" s="112" t="n">
        <f aca="false">MIN(1,MAX(0,(Assumptions!M$99-Project_Register!$T$22+1)/(Project_Register!$U$22-Project_Register!$T$22+1)))</f>
        <v>0</v>
      </c>
      <c r="N276" s="112" t="n">
        <f aca="false">MIN(1,MAX(0,(Assumptions!N$99-Project_Register!$T$22+1)/(Project_Register!$U$22-Project_Register!$T$22+1)))</f>
        <v>0</v>
      </c>
      <c r="O276" s="112" t="n">
        <f aca="false">MIN(1,MAX(0,(Assumptions!O$99-Project_Register!$T$22+1)/(Project_Register!$U$22-Project_Register!$T$22+1)))</f>
        <v>0</v>
      </c>
      <c r="P276" s="112" t="n">
        <f aca="false">MIN(1,MAX(0,(Assumptions!P$99-Project_Register!$T$22+1)/(Project_Register!$U$22-Project_Register!$T$22+1)))</f>
        <v>0</v>
      </c>
      <c r="Q276" s="112" t="n">
        <f aca="false">MIN(1,MAX(0,(Assumptions!Q$99-Project_Register!$T$22+1)/(Project_Register!$U$22-Project_Register!$T$22+1)))</f>
        <v>0</v>
      </c>
      <c r="R276" s="112" t="n">
        <f aca="false">MIN(1,MAX(0,(Assumptions!R$99-Project_Register!$T$22+1)/(Project_Register!$U$22-Project_Register!$T$22+1)))</f>
        <v>0</v>
      </c>
      <c r="S276" s="112" t="n">
        <f aca="false">MIN(1,MAX(0,(Assumptions!S$99-Project_Register!$T$22+1)/(Project_Register!$U$22-Project_Register!$T$22+1)))</f>
        <v>0</v>
      </c>
      <c r="T276" s="112" t="n">
        <f aca="false">MIN(1,MAX(0,(Assumptions!T$99-Project_Register!$T$22+1)/(Project_Register!$U$22-Project_Register!$T$22+1)))</f>
        <v>0</v>
      </c>
      <c r="U276" s="112" t="n">
        <f aca="false">MIN(1,MAX(0,(Assumptions!U$99-Project_Register!$T$22+1)/(Project_Register!$U$22-Project_Register!$T$22+1)))</f>
        <v>0</v>
      </c>
      <c r="V276" s="112" t="n">
        <f aca="false">MIN(1,MAX(0,(Assumptions!V$99-Project_Register!$T$22+1)/(Project_Register!$U$22-Project_Register!$T$22+1)))</f>
        <v>0</v>
      </c>
      <c r="W276" s="112" t="n">
        <f aca="false">MIN(1,MAX(0,(Assumptions!W$99-Project_Register!$T$22+1)/(Project_Register!$U$22-Project_Register!$T$22+1)))</f>
        <v>0.2</v>
      </c>
      <c r="X276" s="112" t="n">
        <f aca="false">MIN(1,MAX(0,(Assumptions!X$99-Project_Register!$T$22+1)/(Project_Register!$U$22-Project_Register!$T$22+1)))</f>
        <v>0.4</v>
      </c>
      <c r="Y276" s="112" t="n">
        <f aca="false">MIN(1,MAX(0,(Assumptions!Y$99-Project_Register!$T$22+1)/(Project_Register!$U$22-Project_Register!$T$22+1)))</f>
        <v>0.6</v>
      </c>
      <c r="Z276" s="112" t="n">
        <f aca="false">MIN(1,MAX(0,(Assumptions!Z$99-Project_Register!$T$22+1)/(Project_Register!$U$22-Project_Register!$T$22+1)))</f>
        <v>0.8</v>
      </c>
      <c r="AA276" s="112" t="n">
        <f aca="false">MIN(1,MAX(0,(Assumptions!AA$99-Project_Register!$T$22+1)/(Project_Register!$U$22-Project_Register!$T$22+1)))</f>
        <v>1</v>
      </c>
      <c r="AB276" s="112" t="n">
        <f aca="false">MIN(1,MAX(0,(Assumptions!AB$99-Project_Register!$T$22+1)/(Project_Register!$U$22-Project_Register!$T$22+1)))</f>
        <v>1</v>
      </c>
    </row>
    <row r="277" customFormat="false" ht="15" hidden="false" customHeight="false" outlineLevel="0" collapsed="false">
      <c r="A277" s="28" t="s">
        <v>907</v>
      </c>
      <c r="B277" s="58" t="s">
        <v>908</v>
      </c>
      <c r="E277" s="113" t="n">
        <f aca="false">3*E276^2-2*E276^3</f>
        <v>0</v>
      </c>
      <c r="F277" s="113" t="n">
        <f aca="false">3*F276^2-2*F276^3</f>
        <v>0</v>
      </c>
      <c r="G277" s="113" t="n">
        <f aca="false">3*G276^2-2*G276^3</f>
        <v>0</v>
      </c>
      <c r="H277" s="113" t="n">
        <f aca="false">3*H276^2-2*H276^3</f>
        <v>0</v>
      </c>
      <c r="I277" s="113" t="n">
        <f aca="false">3*I276^2-2*I276^3</f>
        <v>0</v>
      </c>
      <c r="J277" s="113" t="n">
        <f aca="false">3*J276^2-2*J276^3</f>
        <v>0</v>
      </c>
      <c r="K277" s="113" t="n">
        <f aca="false">3*K276^2-2*K276^3</f>
        <v>0</v>
      </c>
      <c r="L277" s="113" t="n">
        <f aca="false">3*L276^2-2*L276^3</f>
        <v>0</v>
      </c>
      <c r="M277" s="113" t="n">
        <f aca="false">3*M276^2-2*M276^3</f>
        <v>0</v>
      </c>
      <c r="N277" s="113" t="n">
        <f aca="false">3*N276^2-2*N276^3</f>
        <v>0</v>
      </c>
      <c r="O277" s="113" t="n">
        <f aca="false">3*O276^2-2*O276^3</f>
        <v>0</v>
      </c>
      <c r="P277" s="113" t="n">
        <f aca="false">3*P276^2-2*P276^3</f>
        <v>0</v>
      </c>
      <c r="Q277" s="113" t="n">
        <f aca="false">3*Q276^2-2*Q276^3</f>
        <v>0</v>
      </c>
      <c r="R277" s="113" t="n">
        <f aca="false">3*R276^2-2*R276^3</f>
        <v>0</v>
      </c>
      <c r="S277" s="113" t="n">
        <f aca="false">3*S276^2-2*S276^3</f>
        <v>0</v>
      </c>
      <c r="T277" s="113" t="n">
        <f aca="false">3*T276^2-2*T276^3</f>
        <v>0</v>
      </c>
      <c r="U277" s="113" t="n">
        <f aca="false">3*U276^2-2*U276^3</f>
        <v>0</v>
      </c>
      <c r="V277" s="113" t="n">
        <f aca="false">3*V276^2-2*V276^3</f>
        <v>0</v>
      </c>
      <c r="W277" s="113" t="n">
        <f aca="false">3*W276^2-2*W276^3</f>
        <v>0.104</v>
      </c>
      <c r="X277" s="113" t="n">
        <f aca="false">3*X276^2-2*X276^3</f>
        <v>0.352</v>
      </c>
      <c r="Y277" s="113" t="n">
        <f aca="false">3*Y276^2-2*Y276^3</f>
        <v>0.648</v>
      </c>
      <c r="Z277" s="113" t="n">
        <f aca="false">3*Z276^2-2*Z276^3</f>
        <v>0.896</v>
      </c>
      <c r="AA277" s="113" t="n">
        <f aca="false">3*AA276^2-2*AA276^3</f>
        <v>1</v>
      </c>
      <c r="AB277" s="113" t="n">
        <f aca="false">3*AB276^2-2*AB276^3</f>
        <v>1</v>
      </c>
    </row>
    <row r="278" customFormat="false" ht="15" hidden="false" customHeight="false" outlineLevel="0" collapsed="false">
      <c r="A278" s="28" t="s">
        <v>909</v>
      </c>
      <c r="B278" s="58"/>
      <c r="E278" s="112" t="n">
        <f aca="false">3*MIN(1,MAX(0,(Assumptions!E$99-Project_Register!$T$22)/(Project_Register!$U$22-Project_Register!$T$22+1)))^2-2*MIN(1,MAX(0,(Assumptions!E$99-Project_Register!$T$22)/(Project_Register!$U$22-Project_Register!$T$22+1)))^3</f>
        <v>0</v>
      </c>
      <c r="F278" s="112" t="n">
        <f aca="false">3*MIN(1,MAX(0,(Assumptions!F$99-Project_Register!$T$22)/(Project_Register!$U$22-Project_Register!$T$22+1)))^2-2*MIN(1,MAX(0,(Assumptions!F$99-Project_Register!$T$22)/(Project_Register!$U$22-Project_Register!$T$22+1)))^3</f>
        <v>0</v>
      </c>
      <c r="G278" s="112" t="n">
        <f aca="false">3*MIN(1,MAX(0,(Assumptions!G$99-Project_Register!$T$22)/(Project_Register!$U$22-Project_Register!$T$22+1)))^2-2*MIN(1,MAX(0,(Assumptions!G$99-Project_Register!$T$22)/(Project_Register!$U$22-Project_Register!$T$22+1)))^3</f>
        <v>0</v>
      </c>
      <c r="H278" s="112" t="n">
        <f aca="false">3*MIN(1,MAX(0,(Assumptions!H$99-Project_Register!$T$22)/(Project_Register!$U$22-Project_Register!$T$22+1)))^2-2*MIN(1,MAX(0,(Assumptions!H$99-Project_Register!$T$22)/(Project_Register!$U$22-Project_Register!$T$22+1)))^3</f>
        <v>0</v>
      </c>
      <c r="I278" s="112" t="n">
        <f aca="false">3*MIN(1,MAX(0,(Assumptions!I$99-Project_Register!$T$22)/(Project_Register!$U$22-Project_Register!$T$22+1)))^2-2*MIN(1,MAX(0,(Assumptions!I$99-Project_Register!$T$22)/(Project_Register!$U$22-Project_Register!$T$22+1)))^3</f>
        <v>0</v>
      </c>
      <c r="J278" s="112" t="n">
        <f aca="false">3*MIN(1,MAX(0,(Assumptions!J$99-Project_Register!$T$22)/(Project_Register!$U$22-Project_Register!$T$22+1)))^2-2*MIN(1,MAX(0,(Assumptions!J$99-Project_Register!$T$22)/(Project_Register!$U$22-Project_Register!$T$22+1)))^3</f>
        <v>0</v>
      </c>
      <c r="K278" s="112" t="n">
        <f aca="false">3*MIN(1,MAX(0,(Assumptions!K$99-Project_Register!$T$22)/(Project_Register!$U$22-Project_Register!$T$22+1)))^2-2*MIN(1,MAX(0,(Assumptions!K$99-Project_Register!$T$22)/(Project_Register!$U$22-Project_Register!$T$22+1)))^3</f>
        <v>0</v>
      </c>
      <c r="L278" s="112" t="n">
        <f aca="false">3*MIN(1,MAX(0,(Assumptions!L$99-Project_Register!$T$22)/(Project_Register!$U$22-Project_Register!$T$22+1)))^2-2*MIN(1,MAX(0,(Assumptions!L$99-Project_Register!$T$22)/(Project_Register!$U$22-Project_Register!$T$22+1)))^3</f>
        <v>0</v>
      </c>
      <c r="M278" s="112" t="n">
        <f aca="false">3*MIN(1,MAX(0,(Assumptions!M$99-Project_Register!$T$22)/(Project_Register!$U$22-Project_Register!$T$22+1)))^2-2*MIN(1,MAX(0,(Assumptions!M$99-Project_Register!$T$22)/(Project_Register!$U$22-Project_Register!$T$22+1)))^3</f>
        <v>0</v>
      </c>
      <c r="N278" s="112" t="n">
        <f aca="false">3*MIN(1,MAX(0,(Assumptions!N$99-Project_Register!$T$22)/(Project_Register!$U$22-Project_Register!$T$22+1)))^2-2*MIN(1,MAX(0,(Assumptions!N$99-Project_Register!$T$22)/(Project_Register!$U$22-Project_Register!$T$22+1)))^3</f>
        <v>0</v>
      </c>
      <c r="O278" s="112" t="n">
        <f aca="false">3*MIN(1,MAX(0,(Assumptions!O$99-Project_Register!$T$22)/(Project_Register!$U$22-Project_Register!$T$22+1)))^2-2*MIN(1,MAX(0,(Assumptions!O$99-Project_Register!$T$22)/(Project_Register!$U$22-Project_Register!$T$22+1)))^3</f>
        <v>0</v>
      </c>
      <c r="P278" s="112" t="n">
        <f aca="false">3*MIN(1,MAX(0,(Assumptions!P$99-Project_Register!$T$22)/(Project_Register!$U$22-Project_Register!$T$22+1)))^2-2*MIN(1,MAX(0,(Assumptions!P$99-Project_Register!$T$22)/(Project_Register!$U$22-Project_Register!$T$22+1)))^3</f>
        <v>0</v>
      </c>
      <c r="Q278" s="112" t="n">
        <f aca="false">3*MIN(1,MAX(0,(Assumptions!Q$99-Project_Register!$T$22)/(Project_Register!$U$22-Project_Register!$T$22+1)))^2-2*MIN(1,MAX(0,(Assumptions!Q$99-Project_Register!$T$22)/(Project_Register!$U$22-Project_Register!$T$22+1)))^3</f>
        <v>0</v>
      </c>
      <c r="R278" s="112" t="n">
        <f aca="false">3*MIN(1,MAX(0,(Assumptions!R$99-Project_Register!$T$22)/(Project_Register!$U$22-Project_Register!$T$22+1)))^2-2*MIN(1,MAX(0,(Assumptions!R$99-Project_Register!$T$22)/(Project_Register!$U$22-Project_Register!$T$22+1)))^3</f>
        <v>0</v>
      </c>
      <c r="S278" s="112" t="n">
        <f aca="false">3*MIN(1,MAX(0,(Assumptions!S$99-Project_Register!$T$22)/(Project_Register!$U$22-Project_Register!$T$22+1)))^2-2*MIN(1,MAX(0,(Assumptions!S$99-Project_Register!$T$22)/(Project_Register!$U$22-Project_Register!$T$22+1)))^3</f>
        <v>0</v>
      </c>
      <c r="T278" s="112" t="n">
        <f aca="false">3*MIN(1,MAX(0,(Assumptions!T$99-Project_Register!$T$22)/(Project_Register!$U$22-Project_Register!$T$22+1)))^2-2*MIN(1,MAX(0,(Assumptions!T$99-Project_Register!$T$22)/(Project_Register!$U$22-Project_Register!$T$22+1)))^3</f>
        <v>0</v>
      </c>
      <c r="U278" s="112" t="n">
        <f aca="false">3*MIN(1,MAX(0,(Assumptions!U$99-Project_Register!$T$22)/(Project_Register!$U$22-Project_Register!$T$22+1)))^2-2*MIN(1,MAX(0,(Assumptions!U$99-Project_Register!$T$22)/(Project_Register!$U$22-Project_Register!$T$22+1)))^3</f>
        <v>0</v>
      </c>
      <c r="V278" s="112" t="n">
        <f aca="false">3*MIN(1,MAX(0,(Assumptions!V$99-Project_Register!$T$22)/(Project_Register!$U$22-Project_Register!$T$22+1)))^2-2*MIN(1,MAX(0,(Assumptions!V$99-Project_Register!$T$22)/(Project_Register!$U$22-Project_Register!$T$22+1)))^3</f>
        <v>0</v>
      </c>
      <c r="W278" s="112" t="n">
        <f aca="false">3*MIN(1,MAX(0,(Assumptions!W$99-Project_Register!$T$22)/(Project_Register!$U$22-Project_Register!$T$22+1)))^2-2*MIN(1,MAX(0,(Assumptions!W$99-Project_Register!$T$22)/(Project_Register!$U$22-Project_Register!$T$22+1)))^3</f>
        <v>0</v>
      </c>
      <c r="X278" s="112" t="n">
        <f aca="false">3*MIN(1,MAX(0,(Assumptions!X$99-Project_Register!$T$22)/(Project_Register!$U$22-Project_Register!$T$22+1)))^2-2*MIN(1,MAX(0,(Assumptions!X$99-Project_Register!$T$22)/(Project_Register!$U$22-Project_Register!$T$22+1)))^3</f>
        <v>0.104</v>
      </c>
      <c r="Y278" s="112" t="n">
        <f aca="false">3*MIN(1,MAX(0,(Assumptions!Y$99-Project_Register!$T$22)/(Project_Register!$U$22-Project_Register!$T$22+1)))^2-2*MIN(1,MAX(0,(Assumptions!Y$99-Project_Register!$T$22)/(Project_Register!$U$22-Project_Register!$T$22+1)))^3</f>
        <v>0.352</v>
      </c>
      <c r="Z278" s="112" t="n">
        <f aca="false">3*MIN(1,MAX(0,(Assumptions!Z$99-Project_Register!$T$22)/(Project_Register!$U$22-Project_Register!$T$22+1)))^2-2*MIN(1,MAX(0,(Assumptions!Z$99-Project_Register!$T$22)/(Project_Register!$U$22-Project_Register!$T$22+1)))^3</f>
        <v>0.648</v>
      </c>
      <c r="AA278" s="112" t="n">
        <f aca="false">3*MIN(1,MAX(0,(Assumptions!AA$99-Project_Register!$T$22)/(Project_Register!$U$22-Project_Register!$T$22+1)))^2-2*MIN(1,MAX(0,(Assumptions!AA$99-Project_Register!$T$22)/(Project_Register!$U$22-Project_Register!$T$22+1)))^3</f>
        <v>0.896</v>
      </c>
      <c r="AB278" s="112" t="n">
        <f aca="false">3*MIN(1,MAX(0,(Assumptions!AB$99-Project_Register!$T$22)/(Project_Register!$U$22-Project_Register!$T$22+1)))^2-2*MIN(1,MAX(0,(Assumptions!AB$99-Project_Register!$T$22)/(Project_Register!$U$22-Project_Register!$T$22+1)))^3</f>
        <v>1</v>
      </c>
    </row>
    <row r="279" customFormat="false" ht="15" hidden="false" customHeight="false" outlineLevel="0" collapsed="false">
      <c r="A279" s="28" t="s">
        <v>802</v>
      </c>
      <c r="B279" s="58" t="s">
        <v>910</v>
      </c>
      <c r="C279" s="66" t="n">
        <f aca="false">SUM(E279:P279)</f>
        <v>0</v>
      </c>
      <c r="D279" s="66" t="n">
        <f aca="false">SUM(Q279:AB279)</f>
        <v>1955</v>
      </c>
      <c r="E279" s="67" t="n">
        <f aca="false">IF(E$5="A",0,IF((Project_Register!$AA$22-Project_Register!$X$22)&lt;=0,0,IF(1-Project_Register!$AC$22&lt;=0.000001,IF(Assumptions!E$99=Assumptions!$C$10+1,(Project_Register!$AA$22-Project_Register!$X$22),0),(Project_Register!$AA$22-Project_Register!$X$22)*(E277-E278)/(1-Project_Register!$AC$22))))</f>
        <v>0</v>
      </c>
      <c r="F279" s="67" t="n">
        <f aca="false">IF(F$5="A",0,IF((Project_Register!$AA$22-Project_Register!$X$22)&lt;=0,0,IF(1-Project_Register!$AC$22&lt;=0.000001,IF(Assumptions!F$99=Assumptions!$C$10+1,(Project_Register!$AA$22-Project_Register!$X$22),0),(Project_Register!$AA$22-Project_Register!$X$22)*(F277-F278)/(1-Project_Register!$AC$22))))</f>
        <v>0</v>
      </c>
      <c r="G279" s="67" t="n">
        <f aca="false">IF(G$5="A",0,IF((Project_Register!$AA$22-Project_Register!$X$22)&lt;=0,0,IF(1-Project_Register!$AC$22&lt;=0.000001,IF(Assumptions!G$99=Assumptions!$C$10+1,(Project_Register!$AA$22-Project_Register!$X$22),0),(Project_Register!$AA$22-Project_Register!$X$22)*(G277-G278)/(1-Project_Register!$AC$22))))</f>
        <v>0</v>
      </c>
      <c r="H279" s="67" t="n">
        <f aca="false">IF(H$5="A",0,IF((Project_Register!$AA$22-Project_Register!$X$22)&lt;=0,0,IF(1-Project_Register!$AC$22&lt;=0.000001,IF(Assumptions!H$99=Assumptions!$C$10+1,(Project_Register!$AA$22-Project_Register!$X$22),0),(Project_Register!$AA$22-Project_Register!$X$22)*(H277-H278)/(1-Project_Register!$AC$22))))</f>
        <v>0</v>
      </c>
      <c r="I279" s="67" t="n">
        <f aca="false">IF(I$5="A",0,IF((Project_Register!$AA$22-Project_Register!$X$22)&lt;=0,0,IF(1-Project_Register!$AC$22&lt;=0.000001,IF(Assumptions!I$99=Assumptions!$C$10+1,(Project_Register!$AA$22-Project_Register!$X$22),0),(Project_Register!$AA$22-Project_Register!$X$22)*(I277-I278)/(1-Project_Register!$AC$22))))</f>
        <v>0</v>
      </c>
      <c r="J279" s="67" t="n">
        <f aca="false">IF(J$5="A",0,IF((Project_Register!$AA$22-Project_Register!$X$22)&lt;=0,0,IF(1-Project_Register!$AC$22&lt;=0.000001,IF(Assumptions!J$99=Assumptions!$C$10+1,(Project_Register!$AA$22-Project_Register!$X$22),0),(Project_Register!$AA$22-Project_Register!$X$22)*(J277-J278)/(1-Project_Register!$AC$22))))</f>
        <v>0</v>
      </c>
      <c r="K279" s="67" t="n">
        <f aca="false">IF(K$5="A",0,IF((Project_Register!$AA$22-Project_Register!$X$22)&lt;=0,0,IF(1-Project_Register!$AC$22&lt;=0.000001,IF(Assumptions!K$99=Assumptions!$C$10+1,(Project_Register!$AA$22-Project_Register!$X$22),0),(Project_Register!$AA$22-Project_Register!$X$22)*(K277-K278)/(1-Project_Register!$AC$22))))</f>
        <v>0</v>
      </c>
      <c r="L279" s="67" t="n">
        <f aca="false">IF(L$5="A",0,IF((Project_Register!$AA$22-Project_Register!$X$22)&lt;=0,0,IF(1-Project_Register!$AC$22&lt;=0.000001,IF(Assumptions!L$99=Assumptions!$C$10+1,(Project_Register!$AA$22-Project_Register!$X$22),0),(Project_Register!$AA$22-Project_Register!$X$22)*(L277-L278)/(1-Project_Register!$AC$22))))</f>
        <v>0</v>
      </c>
      <c r="M279" s="67" t="n">
        <f aca="false">IF(M$5="A",0,IF((Project_Register!$AA$22-Project_Register!$X$22)&lt;=0,0,IF(1-Project_Register!$AC$22&lt;=0.000001,IF(Assumptions!M$99=Assumptions!$C$10+1,(Project_Register!$AA$22-Project_Register!$X$22),0),(Project_Register!$AA$22-Project_Register!$X$22)*(M277-M278)/(1-Project_Register!$AC$22))))</f>
        <v>0</v>
      </c>
      <c r="N279" s="67" t="n">
        <f aca="false">IF(N$5="A",0,IF((Project_Register!$AA$22-Project_Register!$X$22)&lt;=0,0,IF(1-Project_Register!$AC$22&lt;=0.000001,IF(Assumptions!N$99=Assumptions!$C$10+1,(Project_Register!$AA$22-Project_Register!$X$22),0),(Project_Register!$AA$22-Project_Register!$X$22)*(N277-N278)/(1-Project_Register!$AC$22))))</f>
        <v>0</v>
      </c>
      <c r="O279" s="67" t="n">
        <f aca="false">IF(O$5="A",0,IF((Project_Register!$AA$22-Project_Register!$X$22)&lt;=0,0,IF(1-Project_Register!$AC$22&lt;=0.000001,IF(Assumptions!O$99=Assumptions!$C$10+1,(Project_Register!$AA$22-Project_Register!$X$22),0),(Project_Register!$AA$22-Project_Register!$X$22)*(O277-O278)/(1-Project_Register!$AC$22))))</f>
        <v>0</v>
      </c>
      <c r="P279" s="67" t="n">
        <f aca="false">IF(P$5="A",0,IF((Project_Register!$AA$22-Project_Register!$X$22)&lt;=0,0,IF(1-Project_Register!$AC$22&lt;=0.000001,IF(Assumptions!P$99=Assumptions!$C$10+1,(Project_Register!$AA$22-Project_Register!$X$22),0),(Project_Register!$AA$22-Project_Register!$X$22)*(P277-P278)/(1-Project_Register!$AC$22))))</f>
        <v>0</v>
      </c>
      <c r="Q279" s="67" t="n">
        <f aca="false">IF(Q$5="A",0,IF((Project_Register!$AA$22-Project_Register!$X$22)&lt;=0,0,IF(1-Project_Register!$AC$22&lt;=0.000001,IF(Assumptions!Q$99=Assumptions!$C$10+1,(Project_Register!$AA$22-Project_Register!$X$22),0),(Project_Register!$AA$22-Project_Register!$X$22)*(Q277-Q278)/(1-Project_Register!$AC$22))))</f>
        <v>0</v>
      </c>
      <c r="R279" s="67" t="n">
        <f aca="false">IF(R$5="A",0,IF((Project_Register!$AA$22-Project_Register!$X$22)&lt;=0,0,IF(1-Project_Register!$AC$22&lt;=0.000001,IF(Assumptions!R$99=Assumptions!$C$10+1,(Project_Register!$AA$22-Project_Register!$X$22),0),(Project_Register!$AA$22-Project_Register!$X$22)*(R277-R278)/(1-Project_Register!$AC$22))))</f>
        <v>0</v>
      </c>
      <c r="S279" s="67" t="n">
        <f aca="false">IF(S$5="A",0,IF((Project_Register!$AA$22-Project_Register!$X$22)&lt;=0,0,IF(1-Project_Register!$AC$22&lt;=0.000001,IF(Assumptions!S$99=Assumptions!$C$10+1,(Project_Register!$AA$22-Project_Register!$X$22),0),(Project_Register!$AA$22-Project_Register!$X$22)*(S277-S278)/(1-Project_Register!$AC$22))))</f>
        <v>0</v>
      </c>
      <c r="T279" s="67" t="n">
        <f aca="false">IF(T$5="A",0,IF((Project_Register!$AA$22-Project_Register!$X$22)&lt;=0,0,IF(1-Project_Register!$AC$22&lt;=0.000001,IF(Assumptions!T$99=Assumptions!$C$10+1,(Project_Register!$AA$22-Project_Register!$X$22),0),(Project_Register!$AA$22-Project_Register!$X$22)*(T277-T278)/(1-Project_Register!$AC$22))))</f>
        <v>0</v>
      </c>
      <c r="U279" s="67" t="n">
        <f aca="false">IF(U$5="A",0,IF((Project_Register!$AA$22-Project_Register!$X$22)&lt;=0,0,IF(1-Project_Register!$AC$22&lt;=0.000001,IF(Assumptions!U$99=Assumptions!$C$10+1,(Project_Register!$AA$22-Project_Register!$X$22),0),(Project_Register!$AA$22-Project_Register!$X$22)*(U277-U278)/(1-Project_Register!$AC$22))))</f>
        <v>0</v>
      </c>
      <c r="V279" s="67" t="n">
        <f aca="false">IF(V$5="A",0,IF((Project_Register!$AA$22-Project_Register!$X$22)&lt;=0,0,IF(1-Project_Register!$AC$22&lt;=0.000001,IF(Assumptions!V$99=Assumptions!$C$10+1,(Project_Register!$AA$22-Project_Register!$X$22),0),(Project_Register!$AA$22-Project_Register!$X$22)*(V277-V278)/(1-Project_Register!$AC$22))))</f>
        <v>0</v>
      </c>
      <c r="W279" s="67" t="n">
        <f aca="false">IF(W$5="A",0,IF((Project_Register!$AA$22-Project_Register!$X$22)&lt;=0,0,IF(1-Project_Register!$AC$22&lt;=0.000001,IF(Assumptions!W$99=Assumptions!$C$10+1,(Project_Register!$AA$22-Project_Register!$X$22),0),(Project_Register!$AA$22-Project_Register!$X$22)*(W277-W278)/(1-Project_Register!$AC$22))))</f>
        <v>203.32</v>
      </c>
      <c r="X279" s="67" t="n">
        <f aca="false">IF(X$5="A",0,IF((Project_Register!$AA$22-Project_Register!$X$22)&lt;=0,0,IF(1-Project_Register!$AC$22&lt;=0.000001,IF(Assumptions!X$99=Assumptions!$C$10+1,(Project_Register!$AA$22-Project_Register!$X$22),0),(Project_Register!$AA$22-Project_Register!$X$22)*(X277-X278)/(1-Project_Register!$AC$22))))</f>
        <v>484.84</v>
      </c>
      <c r="Y279" s="67" t="n">
        <f aca="false">IF(Y$5="A",0,IF((Project_Register!$AA$22-Project_Register!$X$22)&lt;=0,0,IF(1-Project_Register!$AC$22&lt;=0.000001,IF(Assumptions!Y$99=Assumptions!$C$10+1,(Project_Register!$AA$22-Project_Register!$X$22),0),(Project_Register!$AA$22-Project_Register!$X$22)*(Y277-Y278)/(1-Project_Register!$AC$22))))</f>
        <v>578.68</v>
      </c>
      <c r="Z279" s="67" t="n">
        <f aca="false">IF(Z$5="A",0,IF((Project_Register!$AA$22-Project_Register!$X$22)&lt;=0,0,IF(1-Project_Register!$AC$22&lt;=0.000001,IF(Assumptions!Z$99=Assumptions!$C$10+1,(Project_Register!$AA$22-Project_Register!$X$22),0),(Project_Register!$AA$22-Project_Register!$X$22)*(Z277-Z278)/(1-Project_Register!$AC$22))))</f>
        <v>484.84</v>
      </c>
      <c r="AA279" s="67" t="n">
        <f aca="false">IF(AA$5="A",0,IF((Project_Register!$AA$22-Project_Register!$X$22)&lt;=0,0,IF(1-Project_Register!$AC$22&lt;=0.000001,IF(Assumptions!AA$99=Assumptions!$C$10+1,(Project_Register!$AA$22-Project_Register!$X$22),0),(Project_Register!$AA$22-Project_Register!$X$22)*(AA277-AA278)/(1-Project_Register!$AC$22))))</f>
        <v>203.32</v>
      </c>
      <c r="AB279" s="67" t="n">
        <f aca="false">IF(AB$5="A",0,IF((Project_Register!$AA$22-Project_Register!$X$22)&lt;=0,0,IF(1-Project_Register!$AC$22&lt;=0.000001,IF(Assumptions!AB$99=Assumptions!$C$10+1,(Project_Register!$AA$22-Project_Register!$X$22),0),(Project_Register!$AA$22-Project_Register!$X$22)*(AB277-AB278)/(1-Project_Register!$AC$22))))</f>
        <v>0</v>
      </c>
    </row>
    <row r="280" customFormat="false" ht="15" hidden="false" customHeight="false" outlineLevel="0" collapsed="false">
      <c r="A280" s="28" t="s">
        <v>911</v>
      </c>
      <c r="B280" s="58" t="s">
        <v>912</v>
      </c>
      <c r="C280" s="66" t="n">
        <f aca="false">P280</f>
        <v>0</v>
      </c>
      <c r="D280" s="66" t="n">
        <f aca="false">AB280</f>
        <v>1955</v>
      </c>
      <c r="E280" s="67" t="n">
        <f aca="false">Project_Register!$P$22+E279</f>
        <v>0</v>
      </c>
      <c r="F280" s="72" t="n">
        <f aca="false">E280+F279</f>
        <v>0</v>
      </c>
      <c r="G280" s="72" t="n">
        <f aca="false">F280+G279</f>
        <v>0</v>
      </c>
      <c r="H280" s="72" t="n">
        <f aca="false">G280+H279</f>
        <v>0</v>
      </c>
      <c r="I280" s="72" t="n">
        <f aca="false">H280+I279</f>
        <v>0</v>
      </c>
      <c r="J280" s="72" t="n">
        <f aca="false">I280+J279</f>
        <v>0</v>
      </c>
      <c r="K280" s="72" t="n">
        <f aca="false">J280+K279</f>
        <v>0</v>
      </c>
      <c r="L280" s="72" t="n">
        <f aca="false">K280+L279</f>
        <v>0</v>
      </c>
      <c r="M280" s="72" t="n">
        <f aca="false">L280+M279</f>
        <v>0</v>
      </c>
      <c r="N280" s="72" t="n">
        <f aca="false">M280+N279</f>
        <v>0</v>
      </c>
      <c r="O280" s="72" t="n">
        <f aca="false">N280+O279</f>
        <v>0</v>
      </c>
      <c r="P280" s="72" t="n">
        <f aca="false">O280+P279</f>
        <v>0</v>
      </c>
      <c r="Q280" s="72" t="n">
        <f aca="false">P280+Q279</f>
        <v>0</v>
      </c>
      <c r="R280" s="72" t="n">
        <f aca="false">Q280+R279</f>
        <v>0</v>
      </c>
      <c r="S280" s="72" t="n">
        <f aca="false">R280+S279</f>
        <v>0</v>
      </c>
      <c r="T280" s="72" t="n">
        <f aca="false">S280+T279</f>
        <v>0</v>
      </c>
      <c r="U280" s="72" t="n">
        <f aca="false">T280+U279</f>
        <v>0</v>
      </c>
      <c r="V280" s="72" t="n">
        <f aca="false">U280+V279</f>
        <v>0</v>
      </c>
      <c r="W280" s="72" t="n">
        <f aca="false">V280+W279</f>
        <v>203.32</v>
      </c>
      <c r="X280" s="72" t="n">
        <f aca="false">W280+X279</f>
        <v>688.16</v>
      </c>
      <c r="Y280" s="72" t="n">
        <f aca="false">X280+Y279</f>
        <v>1266.84</v>
      </c>
      <c r="Z280" s="72" t="n">
        <f aca="false">Y280+Z279</f>
        <v>1751.68</v>
      </c>
      <c r="AA280" s="72" t="n">
        <f aca="false">Z280+AA279</f>
        <v>1955</v>
      </c>
      <c r="AB280" s="72" t="n">
        <f aca="false">AA280+AB279</f>
        <v>1955</v>
      </c>
    </row>
    <row r="281" customFormat="false" ht="15" hidden="false" customHeight="false" outlineLevel="0" collapsed="false">
      <c r="A281" s="28" t="s">
        <v>913</v>
      </c>
      <c r="B281" s="58" t="s">
        <v>914</v>
      </c>
      <c r="C281" s="66" t="n">
        <f aca="false">P281</f>
        <v>1955</v>
      </c>
      <c r="D281" s="66" t="n">
        <f aca="false">AB281</f>
        <v>1955</v>
      </c>
      <c r="E281" s="67" t="n">
        <f aca="false">IF(E$5="A",Project_Register!$AA$22,Project_Register!$AA$22)</f>
        <v>1955</v>
      </c>
      <c r="F281" s="67" t="n">
        <f aca="false">IF(F$5="A",Project_Register!$AA$22,Project_Register!$AA$22)</f>
        <v>1955</v>
      </c>
      <c r="G281" s="67" t="n">
        <f aca="false">IF(G$5="A",Project_Register!$AA$22,Project_Register!$AA$22)</f>
        <v>1955</v>
      </c>
      <c r="H281" s="67" t="n">
        <f aca="false">IF(H$5="A",Project_Register!$AA$22,Project_Register!$AA$22)</f>
        <v>1955</v>
      </c>
      <c r="I281" s="67" t="n">
        <f aca="false">IF(I$5="A",Project_Register!$AA$22,Project_Register!$AA$22)</f>
        <v>1955</v>
      </c>
      <c r="J281" s="67" t="n">
        <f aca="false">IF(J$5="A",Project_Register!$AA$22,Project_Register!$AA$22)</f>
        <v>1955</v>
      </c>
      <c r="K281" s="67" t="n">
        <f aca="false">IF(K$5="A",Project_Register!$AA$22,Project_Register!$AA$22)</f>
        <v>1955</v>
      </c>
      <c r="L281" s="67" t="n">
        <f aca="false">IF(L$5="A",Project_Register!$AA$22,Project_Register!$AA$22)</f>
        <v>1955</v>
      </c>
      <c r="M281" s="67" t="n">
        <f aca="false">IF(M$5="A",Project_Register!$AA$22,Project_Register!$AA$22)</f>
        <v>1955</v>
      </c>
      <c r="N281" s="67" t="n">
        <f aca="false">IF(N$5="A",Project_Register!$AA$22,Project_Register!$AA$22)</f>
        <v>1955</v>
      </c>
      <c r="O281" s="67" t="n">
        <f aca="false">IF(O$5="A",Project_Register!$AA$22,Project_Register!$AA$22)</f>
        <v>1955</v>
      </c>
      <c r="P281" s="67" t="n">
        <f aca="false">IF(P$5="A",Project_Register!$AA$22,Project_Register!$AA$22)</f>
        <v>1955</v>
      </c>
      <c r="Q281" s="67" t="n">
        <f aca="false">IF(Q$5="A",Project_Register!$AA$22,Project_Register!$AA$22)</f>
        <v>1955</v>
      </c>
      <c r="R281" s="67" t="n">
        <f aca="false">IF(R$5="A",Project_Register!$AA$22,Project_Register!$AA$22)</f>
        <v>1955</v>
      </c>
      <c r="S281" s="67" t="n">
        <f aca="false">IF(S$5="A",Project_Register!$AA$22,Project_Register!$AA$22)</f>
        <v>1955</v>
      </c>
      <c r="T281" s="67" t="n">
        <f aca="false">IF(T$5="A",Project_Register!$AA$22,Project_Register!$AA$22)</f>
        <v>1955</v>
      </c>
      <c r="U281" s="67" t="n">
        <f aca="false">IF(U$5="A",Project_Register!$AA$22,Project_Register!$AA$22)</f>
        <v>1955</v>
      </c>
      <c r="V281" s="67" t="n">
        <f aca="false">IF(V$5="A",Project_Register!$AA$22,Project_Register!$AA$22)</f>
        <v>1955</v>
      </c>
      <c r="W281" s="67" t="n">
        <f aca="false">IF(W$5="A",Project_Register!$AA$22,Project_Register!$AA$22)</f>
        <v>1955</v>
      </c>
      <c r="X281" s="67" t="n">
        <f aca="false">IF(X$5="A",Project_Register!$AA$22,Project_Register!$AA$22)</f>
        <v>1955</v>
      </c>
      <c r="Y281" s="67" t="n">
        <f aca="false">IF(Y$5="A",Project_Register!$AA$22,Project_Register!$AA$22)</f>
        <v>1955</v>
      </c>
      <c r="Z281" s="67" t="n">
        <f aca="false">IF(Z$5="A",Project_Register!$AA$22,Project_Register!$AA$22)</f>
        <v>1955</v>
      </c>
      <c r="AA281" s="67" t="n">
        <f aca="false">IF(AA$5="A",Project_Register!$AA$22,Project_Register!$AA$22)</f>
        <v>1955</v>
      </c>
      <c r="AB281" s="67" t="n">
        <f aca="false">IF(AB$5="A",Project_Register!$AA$22,Project_Register!$AA$22)</f>
        <v>1955</v>
      </c>
    </row>
    <row r="282" customFormat="false" ht="15" hidden="false" customHeight="false" outlineLevel="0" collapsed="false">
      <c r="A282" s="28" t="s">
        <v>915</v>
      </c>
      <c r="B282" s="58" t="s">
        <v>916</v>
      </c>
      <c r="C282" s="61" t="n">
        <f aca="false">P282</f>
        <v>0</v>
      </c>
      <c r="D282" s="61" t="n">
        <f aca="false">AB282</f>
        <v>1</v>
      </c>
      <c r="E282" s="62" t="n">
        <f aca="false">IF(E281&lt;=0,0,MIN(1,E280/E281))</f>
        <v>0</v>
      </c>
      <c r="F282" s="62" t="n">
        <f aca="false">IF(F281&lt;=0,0,MIN(1,F280/F281))</f>
        <v>0</v>
      </c>
      <c r="G282" s="62" t="n">
        <f aca="false">IF(G281&lt;=0,0,MIN(1,G280/G281))</f>
        <v>0</v>
      </c>
      <c r="H282" s="62" t="n">
        <f aca="false">IF(H281&lt;=0,0,MIN(1,H280/H281))</f>
        <v>0</v>
      </c>
      <c r="I282" s="62" t="n">
        <f aca="false">IF(I281&lt;=0,0,MIN(1,I280/I281))</f>
        <v>0</v>
      </c>
      <c r="J282" s="62" t="n">
        <f aca="false">IF(J281&lt;=0,0,MIN(1,J280/J281))</f>
        <v>0</v>
      </c>
      <c r="K282" s="62" t="n">
        <f aca="false">IF(K281&lt;=0,0,MIN(1,K280/K281))</f>
        <v>0</v>
      </c>
      <c r="L282" s="62" t="n">
        <f aca="false">IF(L281&lt;=0,0,MIN(1,L280/L281))</f>
        <v>0</v>
      </c>
      <c r="M282" s="62" t="n">
        <f aca="false">IF(M281&lt;=0,0,MIN(1,M280/M281))</f>
        <v>0</v>
      </c>
      <c r="N282" s="62" t="n">
        <f aca="false">IF(N281&lt;=0,0,MIN(1,N280/N281))</f>
        <v>0</v>
      </c>
      <c r="O282" s="62" t="n">
        <f aca="false">IF(O281&lt;=0,0,MIN(1,O280/O281))</f>
        <v>0</v>
      </c>
      <c r="P282" s="62" t="n">
        <f aca="false">IF(P281&lt;=0,0,MIN(1,P280/P281))</f>
        <v>0</v>
      </c>
      <c r="Q282" s="62" t="n">
        <f aca="false">IF(Q281&lt;=0,0,MIN(1,Q280/Q281))</f>
        <v>0</v>
      </c>
      <c r="R282" s="62" t="n">
        <f aca="false">IF(R281&lt;=0,0,MIN(1,R280/R281))</f>
        <v>0</v>
      </c>
      <c r="S282" s="62" t="n">
        <f aca="false">IF(S281&lt;=0,0,MIN(1,S280/S281))</f>
        <v>0</v>
      </c>
      <c r="T282" s="62" t="n">
        <f aca="false">IF(T281&lt;=0,0,MIN(1,T280/T281))</f>
        <v>0</v>
      </c>
      <c r="U282" s="62" t="n">
        <f aca="false">IF(U281&lt;=0,0,MIN(1,U280/U281))</f>
        <v>0</v>
      </c>
      <c r="V282" s="62" t="n">
        <f aca="false">IF(V281&lt;=0,0,MIN(1,V280/V281))</f>
        <v>0</v>
      </c>
      <c r="W282" s="62" t="n">
        <f aca="false">IF(W281&lt;=0,0,MIN(1,W280/W281))</f>
        <v>0.104</v>
      </c>
      <c r="X282" s="62" t="n">
        <f aca="false">IF(X281&lt;=0,0,MIN(1,X280/X281))</f>
        <v>0.352</v>
      </c>
      <c r="Y282" s="62" t="n">
        <f aca="false">IF(Y281&lt;=0,0,MIN(1,Y280/Y281))</f>
        <v>0.648</v>
      </c>
      <c r="Z282" s="62" t="n">
        <f aca="false">IF(Z281&lt;=0,0,MIN(1,Z280/Z281))</f>
        <v>0.896</v>
      </c>
      <c r="AA282" s="62" t="n">
        <f aca="false">IF(AA281&lt;=0,0,MIN(1,AA280/AA281))</f>
        <v>1</v>
      </c>
      <c r="AB282" s="62" t="n">
        <f aca="false">IF(AB281&lt;=0,0,MIN(1,AB280/AB281))</f>
        <v>1</v>
      </c>
    </row>
    <row r="283" customFormat="false" ht="15" hidden="false" customHeight="false" outlineLevel="0" collapsed="false">
      <c r="A283" s="28" t="s">
        <v>917</v>
      </c>
      <c r="B283" s="58" t="s">
        <v>918</v>
      </c>
      <c r="C283" s="59" t="n">
        <f aca="false">P283</f>
        <v>204000</v>
      </c>
      <c r="D283" s="59" t="n">
        <f aca="false">AB283</f>
        <v>204000</v>
      </c>
      <c r="E283" s="60" t="n">
        <f aca="false">IF(E$5="A",0,Project_Register!$W$22)</f>
        <v>0</v>
      </c>
      <c r="F283" s="60" t="n">
        <f aca="false">IF(F$5="A",0,Project_Register!$W$22)</f>
        <v>0</v>
      </c>
      <c r="G283" s="60" t="n">
        <f aca="false">IF(G$5="A",0,Project_Register!$W$22)</f>
        <v>0</v>
      </c>
      <c r="H283" s="60" t="n">
        <f aca="false">IF(H$5="A",0,Project_Register!$W$22)</f>
        <v>0</v>
      </c>
      <c r="I283" s="60" t="n">
        <f aca="false">IF(I$5="A",0,Project_Register!$W$22)</f>
        <v>0</v>
      </c>
      <c r="J283" s="60" t="n">
        <f aca="false">IF(J$5="A",0,Project_Register!$W$22)</f>
        <v>0</v>
      </c>
      <c r="K283" s="60" t="n">
        <f aca="false">IF(K$5="A",0,Project_Register!$W$22)</f>
        <v>0</v>
      </c>
      <c r="L283" s="60" t="n">
        <f aca="false">IF(L$5="A",0,Project_Register!$W$22)</f>
        <v>0</v>
      </c>
      <c r="M283" s="60" t="n">
        <f aca="false">IF(M$5="A",0,Project_Register!$W$22)</f>
        <v>204000</v>
      </c>
      <c r="N283" s="60" t="n">
        <f aca="false">IF(N$5="A",0,Project_Register!$W$22)</f>
        <v>204000</v>
      </c>
      <c r="O283" s="60" t="n">
        <f aca="false">IF(O$5="A",0,Project_Register!$W$22)</f>
        <v>204000</v>
      </c>
      <c r="P283" s="60" t="n">
        <f aca="false">IF(P$5="A",0,Project_Register!$W$22)</f>
        <v>204000</v>
      </c>
      <c r="Q283" s="60" t="n">
        <f aca="false">IF(Q$5="A",0,Project_Register!$W$22)</f>
        <v>204000</v>
      </c>
      <c r="R283" s="60" t="n">
        <f aca="false">IF(R$5="A",0,Project_Register!$W$22)</f>
        <v>204000</v>
      </c>
      <c r="S283" s="60" t="n">
        <f aca="false">IF(S$5="A",0,Project_Register!$W$22)</f>
        <v>204000</v>
      </c>
      <c r="T283" s="60" t="n">
        <f aca="false">IF(T$5="A",0,Project_Register!$W$22)</f>
        <v>204000</v>
      </c>
      <c r="U283" s="60" t="n">
        <f aca="false">IF(U$5="A",0,Project_Register!$W$22)</f>
        <v>204000</v>
      </c>
      <c r="V283" s="60" t="n">
        <f aca="false">IF(V$5="A",0,Project_Register!$W$22)</f>
        <v>204000</v>
      </c>
      <c r="W283" s="60" t="n">
        <f aca="false">IF(W$5="A",0,Project_Register!$W$22)</f>
        <v>204000</v>
      </c>
      <c r="X283" s="60" t="n">
        <f aca="false">IF(X$5="A",0,Project_Register!$W$22)</f>
        <v>204000</v>
      </c>
      <c r="Y283" s="60" t="n">
        <f aca="false">IF(Y$5="A",0,Project_Register!$W$22)</f>
        <v>204000</v>
      </c>
      <c r="Z283" s="60" t="n">
        <f aca="false">IF(Z$5="A",0,Project_Register!$W$22)</f>
        <v>204000</v>
      </c>
      <c r="AA283" s="60" t="n">
        <f aca="false">IF(AA$5="A",0,Project_Register!$W$22)</f>
        <v>204000</v>
      </c>
      <c r="AB283" s="60" t="n">
        <f aca="false">IF(AB$5="A",0,Project_Register!$W$22)</f>
        <v>204000</v>
      </c>
    </row>
    <row r="284" customFormat="false" ht="15" hidden="false" customHeight="false" outlineLevel="0" collapsed="false">
      <c r="A284" s="28" t="s">
        <v>919</v>
      </c>
      <c r="B284" s="58" t="s">
        <v>920</v>
      </c>
      <c r="C284" s="59" t="n">
        <f aca="false">P284</f>
        <v>0</v>
      </c>
      <c r="D284" s="59" t="n">
        <f aca="false">AB284</f>
        <v>204000</v>
      </c>
      <c r="E284" s="60" t="n">
        <f aca="false">IF(E$5="A",Project_Register!$Q$22+0,E282*E283)</f>
        <v>0</v>
      </c>
      <c r="F284" s="71" t="n">
        <f aca="false">IF(F$5="A",E284+0,F282*F283)</f>
        <v>0</v>
      </c>
      <c r="G284" s="71" t="n">
        <f aca="false">IF(G$5="A",F284+0,G282*G283)</f>
        <v>0</v>
      </c>
      <c r="H284" s="71" t="n">
        <f aca="false">IF(H$5="A",G284+0,H282*H283)</f>
        <v>0</v>
      </c>
      <c r="I284" s="71" t="n">
        <f aca="false">IF(I$5="A",H284+0,I282*I283)</f>
        <v>0</v>
      </c>
      <c r="J284" s="71" t="n">
        <f aca="false">IF(J$5="A",I284+0,J282*J283)</f>
        <v>0</v>
      </c>
      <c r="K284" s="71" t="n">
        <f aca="false">IF(K$5="A",J284+0,K282*K283)</f>
        <v>0</v>
      </c>
      <c r="L284" s="71" t="n">
        <f aca="false">IF(L$5="A",K284+0,L282*L283)</f>
        <v>0</v>
      </c>
      <c r="M284" s="71" t="n">
        <f aca="false">IF(M$5="A",L284+0,M282*M283)</f>
        <v>0</v>
      </c>
      <c r="N284" s="71" t="n">
        <f aca="false">IF(N$5="A",M284+0,N282*N283)</f>
        <v>0</v>
      </c>
      <c r="O284" s="71" t="n">
        <f aca="false">IF(O$5="A",N284+0,O282*O283)</f>
        <v>0</v>
      </c>
      <c r="P284" s="71" t="n">
        <f aca="false">IF(P$5="A",O284+0,P282*P283)</f>
        <v>0</v>
      </c>
      <c r="Q284" s="71" t="n">
        <f aca="false">IF(Q$5="A",P284+0,Q282*Q283)</f>
        <v>0</v>
      </c>
      <c r="R284" s="71" t="n">
        <f aca="false">IF(R$5="A",Q284+0,R282*R283)</f>
        <v>0</v>
      </c>
      <c r="S284" s="71" t="n">
        <f aca="false">IF(S$5="A",R284+0,S282*S283)</f>
        <v>0</v>
      </c>
      <c r="T284" s="71" t="n">
        <f aca="false">IF(T$5="A",S284+0,T282*T283)</f>
        <v>0</v>
      </c>
      <c r="U284" s="71" t="n">
        <f aca="false">IF(U$5="A",T284+0,U282*U283)</f>
        <v>0</v>
      </c>
      <c r="V284" s="71" t="n">
        <f aca="false">IF(V$5="A",U284+0,V282*V283)</f>
        <v>0</v>
      </c>
      <c r="W284" s="71" t="n">
        <f aca="false">IF(W$5="A",V284+0,W282*W283)</f>
        <v>21216</v>
      </c>
      <c r="X284" s="71" t="n">
        <f aca="false">IF(X$5="A",W284+0,X282*X283)</f>
        <v>71808</v>
      </c>
      <c r="Y284" s="71" t="n">
        <f aca="false">IF(Y$5="A",X284+0,Y282*Y283)</f>
        <v>132192</v>
      </c>
      <c r="Z284" s="71" t="n">
        <f aca="false">IF(Z$5="A",Y284+0,Z282*Z283)</f>
        <v>182784</v>
      </c>
      <c r="AA284" s="71" t="n">
        <f aca="false">IF(AA$5="A",Z284+0,AA282*AA283)</f>
        <v>204000</v>
      </c>
      <c r="AB284" s="71" t="n">
        <f aca="false">IF(AB$5="A",AA284+0,AB282*AB283)</f>
        <v>204000</v>
      </c>
    </row>
    <row r="285" customFormat="false" ht="15" hidden="false" customHeight="false" outlineLevel="0" collapsed="false">
      <c r="A285" s="68" t="s">
        <v>921</v>
      </c>
      <c r="B285" s="69" t="s">
        <v>922</v>
      </c>
      <c r="C285" s="70" t="n">
        <f aca="false">SUM(E285:P285)</f>
        <v>0</v>
      </c>
      <c r="D285" s="70" t="n">
        <f aca="false">SUM(Q285:AB285)</f>
        <v>204000</v>
      </c>
      <c r="E285" s="74" t="n">
        <f aca="false">E284-Project_Register!$Q$22</f>
        <v>0</v>
      </c>
      <c r="F285" s="70" t="n">
        <f aca="false">F284-E284</f>
        <v>0</v>
      </c>
      <c r="G285" s="70" t="n">
        <f aca="false">G284-F284</f>
        <v>0</v>
      </c>
      <c r="H285" s="70" t="n">
        <f aca="false">H284-G284</f>
        <v>0</v>
      </c>
      <c r="I285" s="70" t="n">
        <f aca="false">I284-H284</f>
        <v>0</v>
      </c>
      <c r="J285" s="70" t="n">
        <f aca="false">J284-I284</f>
        <v>0</v>
      </c>
      <c r="K285" s="70" t="n">
        <f aca="false">K284-J284</f>
        <v>0</v>
      </c>
      <c r="L285" s="70" t="n">
        <f aca="false">L284-K284</f>
        <v>0</v>
      </c>
      <c r="M285" s="70" t="n">
        <f aca="false">M284-L284</f>
        <v>0</v>
      </c>
      <c r="N285" s="70" t="n">
        <f aca="false">N284-M284</f>
        <v>0</v>
      </c>
      <c r="O285" s="70" t="n">
        <f aca="false">O284-N284</f>
        <v>0</v>
      </c>
      <c r="P285" s="70" t="n">
        <f aca="false">P284-O284</f>
        <v>0</v>
      </c>
      <c r="Q285" s="70" t="n">
        <f aca="false">Q284-P284</f>
        <v>0</v>
      </c>
      <c r="R285" s="70" t="n">
        <f aca="false">R284-Q284</f>
        <v>0</v>
      </c>
      <c r="S285" s="70" t="n">
        <f aca="false">S284-R284</f>
        <v>0</v>
      </c>
      <c r="T285" s="70" t="n">
        <f aca="false">T284-S284</f>
        <v>0</v>
      </c>
      <c r="U285" s="70" t="n">
        <f aca="false">U284-T284</f>
        <v>0</v>
      </c>
      <c r="V285" s="70" t="n">
        <f aca="false">V284-U284</f>
        <v>0</v>
      </c>
      <c r="W285" s="70" t="n">
        <f aca="false">W284-V284</f>
        <v>21216</v>
      </c>
      <c r="X285" s="70" t="n">
        <f aca="false">X284-W284</f>
        <v>50592</v>
      </c>
      <c r="Y285" s="70" t="n">
        <f aca="false">Y284-X284</f>
        <v>60384</v>
      </c>
      <c r="Z285" s="70" t="n">
        <f aca="false">Z284-Y284</f>
        <v>50592</v>
      </c>
      <c r="AA285" s="70" t="n">
        <f aca="false">AA284-Z284</f>
        <v>21216</v>
      </c>
      <c r="AB285" s="70" t="n">
        <f aca="false">AB284-AA284</f>
        <v>0</v>
      </c>
    </row>
    <row r="286" customFormat="false" ht="15" hidden="false" customHeight="false" outlineLevel="0" collapsed="false">
      <c r="A286" s="28" t="s">
        <v>923</v>
      </c>
      <c r="B286" s="58" t="s">
        <v>924</v>
      </c>
      <c r="C286" s="59" t="n">
        <f aca="false">P286</f>
        <v>0</v>
      </c>
      <c r="D286" s="59" t="n">
        <f aca="false">AB286</f>
        <v>204000</v>
      </c>
      <c r="E286" s="60" t="n">
        <f aca="false">E283*(Assumptions!$C$71*(Assumptions!E$99&gt;=Project_Register!$T$22)+Assumptions!$C$72*(Assumptions!E$99&gt;=Project_Register!$V$22)+Assumptions!$C$73*(Assumptions!E$99&gt;=Project_Register!$U$22))</f>
        <v>0</v>
      </c>
      <c r="F286" s="60" t="n">
        <f aca="false">F283*(Assumptions!$C$71*(Assumptions!F$99&gt;=Project_Register!$T$22)+Assumptions!$C$72*(Assumptions!F$99&gt;=Project_Register!$V$22)+Assumptions!$C$73*(Assumptions!F$99&gt;=Project_Register!$U$22))</f>
        <v>0</v>
      </c>
      <c r="G286" s="60" t="n">
        <f aca="false">G283*(Assumptions!$C$71*(Assumptions!G$99&gt;=Project_Register!$T$22)+Assumptions!$C$72*(Assumptions!G$99&gt;=Project_Register!$V$22)+Assumptions!$C$73*(Assumptions!G$99&gt;=Project_Register!$U$22))</f>
        <v>0</v>
      </c>
      <c r="H286" s="60" t="n">
        <f aca="false">H283*(Assumptions!$C$71*(Assumptions!H$99&gt;=Project_Register!$T$22)+Assumptions!$C$72*(Assumptions!H$99&gt;=Project_Register!$V$22)+Assumptions!$C$73*(Assumptions!H$99&gt;=Project_Register!$U$22))</f>
        <v>0</v>
      </c>
      <c r="I286" s="60" t="n">
        <f aca="false">I283*(Assumptions!$C$71*(Assumptions!I$99&gt;=Project_Register!$T$22)+Assumptions!$C$72*(Assumptions!I$99&gt;=Project_Register!$V$22)+Assumptions!$C$73*(Assumptions!I$99&gt;=Project_Register!$U$22))</f>
        <v>0</v>
      </c>
      <c r="J286" s="60" t="n">
        <f aca="false">J283*(Assumptions!$C$71*(Assumptions!J$99&gt;=Project_Register!$T$22)+Assumptions!$C$72*(Assumptions!J$99&gt;=Project_Register!$V$22)+Assumptions!$C$73*(Assumptions!J$99&gt;=Project_Register!$U$22))</f>
        <v>0</v>
      </c>
      <c r="K286" s="60" t="n">
        <f aca="false">K283*(Assumptions!$C$71*(Assumptions!K$99&gt;=Project_Register!$T$22)+Assumptions!$C$72*(Assumptions!K$99&gt;=Project_Register!$V$22)+Assumptions!$C$73*(Assumptions!K$99&gt;=Project_Register!$U$22))</f>
        <v>0</v>
      </c>
      <c r="L286" s="60" t="n">
        <f aca="false">L283*(Assumptions!$C$71*(Assumptions!L$99&gt;=Project_Register!$T$22)+Assumptions!$C$72*(Assumptions!L$99&gt;=Project_Register!$V$22)+Assumptions!$C$73*(Assumptions!L$99&gt;=Project_Register!$U$22))</f>
        <v>0</v>
      </c>
      <c r="M286" s="60" t="n">
        <f aca="false">M283*(Assumptions!$C$71*(Assumptions!M$99&gt;=Project_Register!$T$22)+Assumptions!$C$72*(Assumptions!M$99&gt;=Project_Register!$V$22)+Assumptions!$C$73*(Assumptions!M$99&gt;=Project_Register!$U$22))</f>
        <v>0</v>
      </c>
      <c r="N286" s="60" t="n">
        <f aca="false">N283*(Assumptions!$C$71*(Assumptions!N$99&gt;=Project_Register!$T$22)+Assumptions!$C$72*(Assumptions!N$99&gt;=Project_Register!$V$22)+Assumptions!$C$73*(Assumptions!N$99&gt;=Project_Register!$U$22))</f>
        <v>0</v>
      </c>
      <c r="O286" s="60" t="n">
        <f aca="false">O283*(Assumptions!$C$71*(Assumptions!O$99&gt;=Project_Register!$T$22)+Assumptions!$C$72*(Assumptions!O$99&gt;=Project_Register!$V$22)+Assumptions!$C$73*(Assumptions!O$99&gt;=Project_Register!$U$22))</f>
        <v>0</v>
      </c>
      <c r="P286" s="60" t="n">
        <f aca="false">P283*(Assumptions!$C$71*(Assumptions!P$99&gt;=Project_Register!$T$22)+Assumptions!$C$72*(Assumptions!P$99&gt;=Project_Register!$V$22)+Assumptions!$C$73*(Assumptions!P$99&gt;=Project_Register!$U$22))</f>
        <v>0</v>
      </c>
      <c r="Q286" s="60" t="n">
        <f aca="false">Q283*(Assumptions!$C$71*(Assumptions!Q$99&gt;=Project_Register!$T$22)+Assumptions!$C$72*(Assumptions!Q$99&gt;=Project_Register!$V$22)+Assumptions!$C$73*(Assumptions!Q$99&gt;=Project_Register!$U$22))</f>
        <v>0</v>
      </c>
      <c r="R286" s="60" t="n">
        <f aca="false">R283*(Assumptions!$C$71*(Assumptions!R$99&gt;=Project_Register!$T$22)+Assumptions!$C$72*(Assumptions!R$99&gt;=Project_Register!$V$22)+Assumptions!$C$73*(Assumptions!R$99&gt;=Project_Register!$U$22))</f>
        <v>0</v>
      </c>
      <c r="S286" s="60" t="n">
        <f aca="false">S283*(Assumptions!$C$71*(Assumptions!S$99&gt;=Project_Register!$T$22)+Assumptions!$C$72*(Assumptions!S$99&gt;=Project_Register!$V$22)+Assumptions!$C$73*(Assumptions!S$99&gt;=Project_Register!$U$22))</f>
        <v>0</v>
      </c>
      <c r="T286" s="60" t="n">
        <f aca="false">T283*(Assumptions!$C$71*(Assumptions!T$99&gt;=Project_Register!$T$22)+Assumptions!$C$72*(Assumptions!T$99&gt;=Project_Register!$V$22)+Assumptions!$C$73*(Assumptions!T$99&gt;=Project_Register!$U$22))</f>
        <v>0</v>
      </c>
      <c r="U286" s="60" t="n">
        <f aca="false">U283*(Assumptions!$C$71*(Assumptions!U$99&gt;=Project_Register!$T$22)+Assumptions!$C$72*(Assumptions!U$99&gt;=Project_Register!$V$22)+Assumptions!$C$73*(Assumptions!U$99&gt;=Project_Register!$U$22))</f>
        <v>0</v>
      </c>
      <c r="V286" s="60" t="n">
        <f aca="false">V283*(Assumptions!$C$71*(Assumptions!V$99&gt;=Project_Register!$T$22)+Assumptions!$C$72*(Assumptions!V$99&gt;=Project_Register!$V$22)+Assumptions!$C$73*(Assumptions!V$99&gt;=Project_Register!$U$22))</f>
        <v>0</v>
      </c>
      <c r="W286" s="60" t="n">
        <f aca="false">W283*(Assumptions!$C$71*(Assumptions!W$99&gt;=Project_Register!$T$22)+Assumptions!$C$72*(Assumptions!W$99&gt;=Project_Register!$V$22)+Assumptions!$C$73*(Assumptions!W$99&gt;=Project_Register!$U$22))</f>
        <v>61200</v>
      </c>
      <c r="X286" s="60" t="n">
        <f aca="false">X283*(Assumptions!$C$71*(Assumptions!X$99&gt;=Project_Register!$T$22)+Assumptions!$C$72*(Assumptions!X$99&gt;=Project_Register!$V$22)+Assumptions!$C$73*(Assumptions!X$99&gt;=Project_Register!$U$22))</f>
        <v>61200</v>
      </c>
      <c r="Y286" s="60" t="n">
        <f aca="false">Y283*(Assumptions!$C$71*(Assumptions!Y$99&gt;=Project_Register!$T$22)+Assumptions!$C$72*(Assumptions!Y$99&gt;=Project_Register!$V$22)+Assumptions!$C$73*(Assumptions!Y$99&gt;=Project_Register!$U$22))</f>
        <v>142800</v>
      </c>
      <c r="Z286" s="60" t="n">
        <f aca="false">Z283*(Assumptions!$C$71*(Assumptions!Z$99&gt;=Project_Register!$T$22)+Assumptions!$C$72*(Assumptions!Z$99&gt;=Project_Register!$V$22)+Assumptions!$C$73*(Assumptions!Z$99&gt;=Project_Register!$U$22))</f>
        <v>142800</v>
      </c>
      <c r="AA286" s="60" t="n">
        <f aca="false">AA283*(Assumptions!$C$71*(Assumptions!AA$99&gt;=Project_Register!$T$22)+Assumptions!$C$72*(Assumptions!AA$99&gt;=Project_Register!$V$22)+Assumptions!$C$73*(Assumptions!AA$99&gt;=Project_Register!$U$22))</f>
        <v>204000</v>
      </c>
      <c r="AB286" s="60" t="n">
        <f aca="false">AB283*(Assumptions!$C$71*(Assumptions!AB$99&gt;=Project_Register!$T$22)+Assumptions!$C$72*(Assumptions!AB$99&gt;=Project_Register!$V$22)+Assumptions!$C$73*(Assumptions!AB$99&gt;=Project_Register!$U$22))</f>
        <v>204000</v>
      </c>
    </row>
    <row r="287" customFormat="false" ht="15" hidden="false" customHeight="false" outlineLevel="0" collapsed="false">
      <c r="A287" s="28" t="s">
        <v>925</v>
      </c>
      <c r="B287" s="58" t="s">
        <v>926</v>
      </c>
      <c r="C287" s="59" t="n">
        <f aca="false">SUM(E287:P287)</f>
        <v>0</v>
      </c>
      <c r="D287" s="59" t="n">
        <f aca="false">SUM(Q287:AB287)</f>
        <v>204000</v>
      </c>
      <c r="E287" s="60" t="n">
        <f aca="false">IF(E$5="A",0,MAX(0,E286-Project_Register!$R$22))</f>
        <v>0</v>
      </c>
      <c r="F287" s="71" t="n">
        <f aca="false">IF(F$5="A",0,MAX(0,F286-E288))</f>
        <v>0</v>
      </c>
      <c r="G287" s="71" t="n">
        <f aca="false">IF(G$5="A",0,MAX(0,G286-F288))</f>
        <v>0</v>
      </c>
      <c r="H287" s="71" t="n">
        <f aca="false">IF(H$5="A",0,MAX(0,H286-G288))</f>
        <v>0</v>
      </c>
      <c r="I287" s="71" t="n">
        <f aca="false">IF(I$5="A",0,MAX(0,I286-H288))</f>
        <v>0</v>
      </c>
      <c r="J287" s="71" t="n">
        <f aca="false">IF(J$5="A",0,MAX(0,J286-I288))</f>
        <v>0</v>
      </c>
      <c r="K287" s="71" t="n">
        <f aca="false">IF(K$5="A",0,MAX(0,K286-J288))</f>
        <v>0</v>
      </c>
      <c r="L287" s="71" t="n">
        <f aca="false">IF(L$5="A",0,MAX(0,L286-K288))</f>
        <v>0</v>
      </c>
      <c r="M287" s="71" t="n">
        <f aca="false">IF(M$5="A",0,MAX(0,M286-L288))</f>
        <v>0</v>
      </c>
      <c r="N287" s="71" t="n">
        <f aca="false">IF(N$5="A",0,MAX(0,N286-M288))</f>
        <v>0</v>
      </c>
      <c r="O287" s="71" t="n">
        <f aca="false">IF(O$5="A",0,MAX(0,O286-N288))</f>
        <v>0</v>
      </c>
      <c r="P287" s="71" t="n">
        <f aca="false">IF(P$5="A",0,MAX(0,P286-O288))</f>
        <v>0</v>
      </c>
      <c r="Q287" s="71" t="n">
        <f aca="false">IF(Q$5="A",0,MAX(0,Q286-P288))</f>
        <v>0</v>
      </c>
      <c r="R287" s="71" t="n">
        <f aca="false">IF(R$5="A",0,MAX(0,R286-Q288))</f>
        <v>0</v>
      </c>
      <c r="S287" s="71" t="n">
        <f aca="false">IF(S$5="A",0,MAX(0,S286-R288))</f>
        <v>0</v>
      </c>
      <c r="T287" s="71" t="n">
        <f aca="false">IF(T$5="A",0,MAX(0,T286-S288))</f>
        <v>0</v>
      </c>
      <c r="U287" s="71" t="n">
        <f aca="false">IF(U$5="A",0,MAX(0,U286-T288))</f>
        <v>0</v>
      </c>
      <c r="V287" s="71" t="n">
        <f aca="false">IF(V$5="A",0,MAX(0,V286-U288))</f>
        <v>0</v>
      </c>
      <c r="W287" s="71" t="n">
        <f aca="false">IF(W$5="A",0,MAX(0,W286-V288))</f>
        <v>61200</v>
      </c>
      <c r="X287" s="71" t="n">
        <f aca="false">IF(X$5="A",0,MAX(0,X286-W288))</f>
        <v>0</v>
      </c>
      <c r="Y287" s="71" t="n">
        <f aca="false">IF(Y$5="A",0,MAX(0,Y286-X288))</f>
        <v>81600</v>
      </c>
      <c r="Z287" s="71" t="n">
        <f aca="false">IF(Z$5="A",0,MAX(0,Z286-Y288))</f>
        <v>0</v>
      </c>
      <c r="AA287" s="71" t="n">
        <f aca="false">IF(AA$5="A",0,MAX(0,AA286-Z288))</f>
        <v>61200</v>
      </c>
      <c r="AB287" s="71" t="n">
        <f aca="false">IF(AB$5="A",0,MAX(0,AB286-AA288))</f>
        <v>0</v>
      </c>
    </row>
    <row r="288" customFormat="false" ht="15" hidden="false" customHeight="false" outlineLevel="0" collapsed="false">
      <c r="A288" s="28" t="s">
        <v>927</v>
      </c>
      <c r="B288" s="58"/>
      <c r="C288" s="59" t="n">
        <f aca="false">P288</f>
        <v>0</v>
      </c>
      <c r="D288" s="59" t="n">
        <f aca="false">AB288</f>
        <v>204000</v>
      </c>
      <c r="E288" s="60" t="n">
        <f aca="false">Project_Register!$R$22+E287</f>
        <v>0</v>
      </c>
      <c r="F288" s="71" t="n">
        <f aca="false">E288+F287</f>
        <v>0</v>
      </c>
      <c r="G288" s="71" t="n">
        <f aca="false">F288+G287</f>
        <v>0</v>
      </c>
      <c r="H288" s="71" t="n">
        <f aca="false">G288+H287</f>
        <v>0</v>
      </c>
      <c r="I288" s="71" t="n">
        <f aca="false">H288+I287</f>
        <v>0</v>
      </c>
      <c r="J288" s="71" t="n">
        <f aca="false">I288+J287</f>
        <v>0</v>
      </c>
      <c r="K288" s="71" t="n">
        <f aca="false">J288+K287</f>
        <v>0</v>
      </c>
      <c r="L288" s="71" t="n">
        <f aca="false">K288+L287</f>
        <v>0</v>
      </c>
      <c r="M288" s="71" t="n">
        <f aca="false">L288+M287</f>
        <v>0</v>
      </c>
      <c r="N288" s="71" t="n">
        <f aca="false">M288+N287</f>
        <v>0</v>
      </c>
      <c r="O288" s="71" t="n">
        <f aca="false">N288+O287</f>
        <v>0</v>
      </c>
      <c r="P288" s="71" t="n">
        <f aca="false">O288+P287</f>
        <v>0</v>
      </c>
      <c r="Q288" s="71" t="n">
        <f aca="false">P288+Q287</f>
        <v>0</v>
      </c>
      <c r="R288" s="71" t="n">
        <f aca="false">Q288+R287</f>
        <v>0</v>
      </c>
      <c r="S288" s="71" t="n">
        <f aca="false">R288+S287</f>
        <v>0</v>
      </c>
      <c r="T288" s="71" t="n">
        <f aca="false">S288+T287</f>
        <v>0</v>
      </c>
      <c r="U288" s="71" t="n">
        <f aca="false">T288+U287</f>
        <v>0</v>
      </c>
      <c r="V288" s="71" t="n">
        <f aca="false">U288+V287</f>
        <v>0</v>
      </c>
      <c r="W288" s="71" t="n">
        <f aca="false">V288+W287</f>
        <v>61200</v>
      </c>
      <c r="X288" s="71" t="n">
        <f aca="false">W288+X287</f>
        <v>61200</v>
      </c>
      <c r="Y288" s="71" t="n">
        <f aca="false">X288+Y287</f>
        <v>142800</v>
      </c>
      <c r="Z288" s="71" t="n">
        <f aca="false">Y288+Z287</f>
        <v>142800</v>
      </c>
      <c r="AA288" s="71" t="n">
        <f aca="false">Z288+AA287</f>
        <v>204000</v>
      </c>
      <c r="AB288" s="71" t="n">
        <f aca="false">AA288+AB287</f>
        <v>204000</v>
      </c>
    </row>
    <row r="289" customFormat="false" ht="15" hidden="false" customHeight="false" outlineLevel="0" collapsed="false">
      <c r="A289" s="28" t="s">
        <v>928</v>
      </c>
      <c r="B289" s="58" t="s">
        <v>929</v>
      </c>
      <c r="C289" s="59" t="n">
        <f aca="false">P289</f>
        <v>0</v>
      </c>
      <c r="D289" s="59" t="n">
        <f aca="false">AB289</f>
        <v>0</v>
      </c>
      <c r="E289" s="71" t="n">
        <f aca="false">E284-E288</f>
        <v>0</v>
      </c>
      <c r="F289" s="71" t="n">
        <f aca="false">F284-F288</f>
        <v>0</v>
      </c>
      <c r="G289" s="71" t="n">
        <f aca="false">G284-G288</f>
        <v>0</v>
      </c>
      <c r="H289" s="71" t="n">
        <f aca="false">H284-H288</f>
        <v>0</v>
      </c>
      <c r="I289" s="71" t="n">
        <f aca="false">I284-I288</f>
        <v>0</v>
      </c>
      <c r="J289" s="71" t="n">
        <f aca="false">J284-J288</f>
        <v>0</v>
      </c>
      <c r="K289" s="71" t="n">
        <f aca="false">K284-K288</f>
        <v>0</v>
      </c>
      <c r="L289" s="71" t="n">
        <f aca="false">L284-L288</f>
        <v>0</v>
      </c>
      <c r="M289" s="71" t="n">
        <f aca="false">M284-M288</f>
        <v>0</v>
      </c>
      <c r="N289" s="71" t="n">
        <f aca="false">N284-N288</f>
        <v>0</v>
      </c>
      <c r="O289" s="71" t="n">
        <f aca="false">O284-O288</f>
        <v>0</v>
      </c>
      <c r="P289" s="71" t="n">
        <f aca="false">P284-P288</f>
        <v>0</v>
      </c>
      <c r="Q289" s="71" t="n">
        <f aca="false">Q284-Q288</f>
        <v>0</v>
      </c>
      <c r="R289" s="71" t="n">
        <f aca="false">R284-R288</f>
        <v>0</v>
      </c>
      <c r="S289" s="71" t="n">
        <f aca="false">S284-S288</f>
        <v>0</v>
      </c>
      <c r="T289" s="71" t="n">
        <f aca="false">T284-T288</f>
        <v>0</v>
      </c>
      <c r="U289" s="71" t="n">
        <f aca="false">U284-U288</f>
        <v>0</v>
      </c>
      <c r="V289" s="71" t="n">
        <f aca="false">V284-V288</f>
        <v>0</v>
      </c>
      <c r="W289" s="71" t="n">
        <f aca="false">W284-W288</f>
        <v>-39984</v>
      </c>
      <c r="X289" s="71" t="n">
        <f aca="false">X284-X288</f>
        <v>10608</v>
      </c>
      <c r="Y289" s="71" t="n">
        <f aca="false">Y284-Y288</f>
        <v>-10608</v>
      </c>
      <c r="Z289" s="71" t="n">
        <f aca="false">Z284-Z288</f>
        <v>39984</v>
      </c>
      <c r="AA289" s="71" t="n">
        <f aca="false">AA284-AA288</f>
        <v>0</v>
      </c>
      <c r="AB289" s="71" t="n">
        <f aca="false">AB284-AB288</f>
        <v>0</v>
      </c>
    </row>
    <row r="290" customFormat="false" ht="15" hidden="false" customHeight="false" outlineLevel="0" collapsed="false">
      <c r="A290" s="28" t="s">
        <v>930</v>
      </c>
      <c r="B290" s="58"/>
      <c r="C290" s="59" t="n">
        <f aca="false">P290</f>
        <v>204000</v>
      </c>
      <c r="D290" s="59" t="n">
        <f aca="false">AB290</f>
        <v>0</v>
      </c>
      <c r="E290" s="71" t="n">
        <f aca="false">MAX(0,E283-E284)</f>
        <v>0</v>
      </c>
      <c r="F290" s="71" t="n">
        <f aca="false">MAX(0,F283-F284)</f>
        <v>0</v>
      </c>
      <c r="G290" s="71" t="n">
        <f aca="false">MAX(0,G283-G284)</f>
        <v>0</v>
      </c>
      <c r="H290" s="71" t="n">
        <f aca="false">MAX(0,H283-H284)</f>
        <v>0</v>
      </c>
      <c r="I290" s="71" t="n">
        <f aca="false">MAX(0,I283-I284)</f>
        <v>0</v>
      </c>
      <c r="J290" s="71" t="n">
        <f aca="false">MAX(0,J283-J284)</f>
        <v>0</v>
      </c>
      <c r="K290" s="71" t="n">
        <f aca="false">MAX(0,K283-K284)</f>
        <v>0</v>
      </c>
      <c r="L290" s="71" t="n">
        <f aca="false">MAX(0,L283-L284)</f>
        <v>0</v>
      </c>
      <c r="M290" s="71" t="n">
        <f aca="false">MAX(0,M283-M284)</f>
        <v>204000</v>
      </c>
      <c r="N290" s="71" t="n">
        <f aca="false">MAX(0,N283-N284)</f>
        <v>204000</v>
      </c>
      <c r="O290" s="71" t="n">
        <f aca="false">MAX(0,O283-O284)</f>
        <v>204000</v>
      </c>
      <c r="P290" s="71" t="n">
        <f aca="false">MAX(0,P283-P284)</f>
        <v>204000</v>
      </c>
      <c r="Q290" s="71" t="n">
        <f aca="false">MAX(0,Q283-Q284)</f>
        <v>204000</v>
      </c>
      <c r="R290" s="71" t="n">
        <f aca="false">MAX(0,R283-R284)</f>
        <v>204000</v>
      </c>
      <c r="S290" s="71" t="n">
        <f aca="false">MAX(0,S283-S284)</f>
        <v>204000</v>
      </c>
      <c r="T290" s="71" t="n">
        <f aca="false">MAX(0,T283-T284)</f>
        <v>204000</v>
      </c>
      <c r="U290" s="71" t="n">
        <f aca="false">MAX(0,U283-U284)</f>
        <v>204000</v>
      </c>
      <c r="V290" s="71" t="n">
        <f aca="false">MAX(0,V283-V284)</f>
        <v>204000</v>
      </c>
      <c r="W290" s="71" t="n">
        <f aca="false">MAX(0,W283-W284)</f>
        <v>182784</v>
      </c>
      <c r="X290" s="71" t="n">
        <f aca="false">MAX(0,X283-X284)</f>
        <v>132192</v>
      </c>
      <c r="Y290" s="71" t="n">
        <f aca="false">MAX(0,Y283-Y284)</f>
        <v>71808</v>
      </c>
      <c r="Z290" s="71" t="n">
        <f aca="false">MAX(0,Z283-Z284)</f>
        <v>21216</v>
      </c>
      <c r="AA290" s="71" t="n">
        <f aca="false">MAX(0,AA283-AA284)</f>
        <v>0</v>
      </c>
      <c r="AB290" s="71" t="n">
        <f aca="false">MAX(0,AB283-AB284)</f>
        <v>0</v>
      </c>
    </row>
    <row r="292" customFormat="false" ht="15" hidden="false" customHeight="false" outlineLevel="0" collapsed="false">
      <c r="A292" s="22" t="s">
        <v>955</v>
      </c>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row>
    <row r="293" customFormat="false" ht="15" hidden="false" customHeight="false" outlineLevel="0" collapsed="false">
      <c r="A293" s="28" t="s">
        <v>905</v>
      </c>
      <c r="B293" s="58" t="s">
        <v>906</v>
      </c>
      <c r="E293" s="112" t="n">
        <f aca="false">MIN(1,MAX(0,(Assumptions!E$99-Project_Register!$T$23+1)/(Project_Register!$U$23-Project_Register!$T$23+1)))</f>
        <v>0</v>
      </c>
      <c r="F293" s="112" t="n">
        <f aca="false">MIN(1,MAX(0,(Assumptions!F$99-Project_Register!$T$23+1)/(Project_Register!$U$23-Project_Register!$T$23+1)))</f>
        <v>0</v>
      </c>
      <c r="G293" s="112" t="n">
        <f aca="false">MIN(1,MAX(0,(Assumptions!G$99-Project_Register!$T$23+1)/(Project_Register!$U$23-Project_Register!$T$23+1)))</f>
        <v>0</v>
      </c>
      <c r="H293" s="112" t="n">
        <f aca="false">MIN(1,MAX(0,(Assumptions!H$99-Project_Register!$T$23+1)/(Project_Register!$U$23-Project_Register!$T$23+1)))</f>
        <v>0</v>
      </c>
      <c r="I293" s="112" t="n">
        <f aca="false">MIN(1,MAX(0,(Assumptions!I$99-Project_Register!$T$23+1)/(Project_Register!$U$23-Project_Register!$T$23+1)))</f>
        <v>0</v>
      </c>
      <c r="J293" s="112" t="n">
        <f aca="false">MIN(1,MAX(0,(Assumptions!J$99-Project_Register!$T$23+1)/(Project_Register!$U$23-Project_Register!$T$23+1)))</f>
        <v>0</v>
      </c>
      <c r="K293" s="112" t="n">
        <f aca="false">MIN(1,MAX(0,(Assumptions!K$99-Project_Register!$T$23+1)/(Project_Register!$U$23-Project_Register!$T$23+1)))</f>
        <v>0</v>
      </c>
      <c r="L293" s="112" t="n">
        <f aca="false">MIN(1,MAX(0,(Assumptions!L$99-Project_Register!$T$23+1)/(Project_Register!$U$23-Project_Register!$T$23+1)))</f>
        <v>0</v>
      </c>
      <c r="M293" s="112" t="n">
        <f aca="false">MIN(1,MAX(0,(Assumptions!M$99-Project_Register!$T$23+1)/(Project_Register!$U$23-Project_Register!$T$23+1)))</f>
        <v>0</v>
      </c>
      <c r="N293" s="112" t="n">
        <f aca="false">MIN(1,MAX(0,(Assumptions!N$99-Project_Register!$T$23+1)/(Project_Register!$U$23-Project_Register!$T$23+1)))</f>
        <v>0</v>
      </c>
      <c r="O293" s="112" t="n">
        <f aca="false">MIN(1,MAX(0,(Assumptions!O$99-Project_Register!$T$23+1)/(Project_Register!$U$23-Project_Register!$T$23+1)))</f>
        <v>0</v>
      </c>
      <c r="P293" s="112" t="n">
        <f aca="false">MIN(1,MAX(0,(Assumptions!P$99-Project_Register!$T$23+1)/(Project_Register!$U$23-Project_Register!$T$23+1)))</f>
        <v>0</v>
      </c>
      <c r="Q293" s="112" t="n">
        <f aca="false">MIN(1,MAX(0,(Assumptions!Q$99-Project_Register!$T$23+1)/(Project_Register!$U$23-Project_Register!$T$23+1)))</f>
        <v>0</v>
      </c>
      <c r="R293" s="112" t="n">
        <f aca="false">MIN(1,MAX(0,(Assumptions!R$99-Project_Register!$T$23+1)/(Project_Register!$U$23-Project_Register!$T$23+1)))</f>
        <v>0</v>
      </c>
      <c r="S293" s="112" t="n">
        <f aca="false">MIN(1,MAX(0,(Assumptions!S$99-Project_Register!$T$23+1)/(Project_Register!$U$23-Project_Register!$T$23+1)))</f>
        <v>0</v>
      </c>
      <c r="T293" s="112" t="n">
        <f aca="false">MIN(1,MAX(0,(Assumptions!T$99-Project_Register!$T$23+1)/(Project_Register!$U$23-Project_Register!$T$23+1)))</f>
        <v>0</v>
      </c>
      <c r="U293" s="112" t="n">
        <f aca="false">MIN(1,MAX(0,(Assumptions!U$99-Project_Register!$T$23+1)/(Project_Register!$U$23-Project_Register!$T$23+1)))</f>
        <v>0</v>
      </c>
      <c r="V293" s="112" t="n">
        <f aca="false">MIN(1,MAX(0,(Assumptions!V$99-Project_Register!$T$23+1)/(Project_Register!$U$23-Project_Register!$T$23+1)))</f>
        <v>0</v>
      </c>
      <c r="W293" s="112" t="n">
        <f aca="false">MIN(1,MAX(0,(Assumptions!W$99-Project_Register!$T$23+1)/(Project_Register!$U$23-Project_Register!$T$23+1)))</f>
        <v>0</v>
      </c>
      <c r="X293" s="112" t="n">
        <f aca="false">MIN(1,MAX(0,(Assumptions!X$99-Project_Register!$T$23+1)/(Project_Register!$U$23-Project_Register!$T$23+1)))</f>
        <v>0</v>
      </c>
      <c r="Y293" s="112" t="n">
        <f aca="false">MIN(1,MAX(0,(Assumptions!Y$99-Project_Register!$T$23+1)/(Project_Register!$U$23-Project_Register!$T$23+1)))</f>
        <v>0</v>
      </c>
      <c r="Z293" s="112" t="n">
        <f aca="false">MIN(1,MAX(0,(Assumptions!Z$99-Project_Register!$T$23+1)/(Project_Register!$U$23-Project_Register!$T$23+1)))</f>
        <v>0.2</v>
      </c>
      <c r="AA293" s="112" t="n">
        <f aca="false">MIN(1,MAX(0,(Assumptions!AA$99-Project_Register!$T$23+1)/(Project_Register!$U$23-Project_Register!$T$23+1)))</f>
        <v>0.4</v>
      </c>
      <c r="AB293" s="112" t="n">
        <f aca="false">MIN(1,MAX(0,(Assumptions!AB$99-Project_Register!$T$23+1)/(Project_Register!$U$23-Project_Register!$T$23+1)))</f>
        <v>0.6</v>
      </c>
    </row>
    <row r="294" customFormat="false" ht="15" hidden="false" customHeight="false" outlineLevel="0" collapsed="false">
      <c r="A294" s="28" t="s">
        <v>907</v>
      </c>
      <c r="B294" s="58" t="s">
        <v>908</v>
      </c>
      <c r="E294" s="113" t="n">
        <f aca="false">3*E293^2-2*E293^3</f>
        <v>0</v>
      </c>
      <c r="F294" s="113" t="n">
        <f aca="false">3*F293^2-2*F293^3</f>
        <v>0</v>
      </c>
      <c r="G294" s="113" t="n">
        <f aca="false">3*G293^2-2*G293^3</f>
        <v>0</v>
      </c>
      <c r="H294" s="113" t="n">
        <f aca="false">3*H293^2-2*H293^3</f>
        <v>0</v>
      </c>
      <c r="I294" s="113" t="n">
        <f aca="false">3*I293^2-2*I293^3</f>
        <v>0</v>
      </c>
      <c r="J294" s="113" t="n">
        <f aca="false">3*J293^2-2*J293^3</f>
        <v>0</v>
      </c>
      <c r="K294" s="113" t="n">
        <f aca="false">3*K293^2-2*K293^3</f>
        <v>0</v>
      </c>
      <c r="L294" s="113" t="n">
        <f aca="false">3*L293^2-2*L293^3</f>
        <v>0</v>
      </c>
      <c r="M294" s="113" t="n">
        <f aca="false">3*M293^2-2*M293^3</f>
        <v>0</v>
      </c>
      <c r="N294" s="113" t="n">
        <f aca="false">3*N293^2-2*N293^3</f>
        <v>0</v>
      </c>
      <c r="O294" s="113" t="n">
        <f aca="false">3*O293^2-2*O293^3</f>
        <v>0</v>
      </c>
      <c r="P294" s="113" t="n">
        <f aca="false">3*P293^2-2*P293^3</f>
        <v>0</v>
      </c>
      <c r="Q294" s="113" t="n">
        <f aca="false">3*Q293^2-2*Q293^3</f>
        <v>0</v>
      </c>
      <c r="R294" s="113" t="n">
        <f aca="false">3*R293^2-2*R293^3</f>
        <v>0</v>
      </c>
      <c r="S294" s="113" t="n">
        <f aca="false">3*S293^2-2*S293^3</f>
        <v>0</v>
      </c>
      <c r="T294" s="113" t="n">
        <f aca="false">3*T293^2-2*T293^3</f>
        <v>0</v>
      </c>
      <c r="U294" s="113" t="n">
        <f aca="false">3*U293^2-2*U293^3</f>
        <v>0</v>
      </c>
      <c r="V294" s="113" t="n">
        <f aca="false">3*V293^2-2*V293^3</f>
        <v>0</v>
      </c>
      <c r="W294" s="113" t="n">
        <f aca="false">3*W293^2-2*W293^3</f>
        <v>0</v>
      </c>
      <c r="X294" s="113" t="n">
        <f aca="false">3*X293^2-2*X293^3</f>
        <v>0</v>
      </c>
      <c r="Y294" s="113" t="n">
        <f aca="false">3*Y293^2-2*Y293^3</f>
        <v>0</v>
      </c>
      <c r="Z294" s="113" t="n">
        <f aca="false">3*Z293^2-2*Z293^3</f>
        <v>0.104</v>
      </c>
      <c r="AA294" s="113" t="n">
        <f aca="false">3*AA293^2-2*AA293^3</f>
        <v>0.352</v>
      </c>
      <c r="AB294" s="113" t="n">
        <f aca="false">3*AB293^2-2*AB293^3</f>
        <v>0.648</v>
      </c>
    </row>
    <row r="295" customFormat="false" ht="15" hidden="false" customHeight="false" outlineLevel="0" collapsed="false">
      <c r="A295" s="28" t="s">
        <v>909</v>
      </c>
      <c r="B295" s="58"/>
      <c r="E295" s="112" t="n">
        <f aca="false">3*MIN(1,MAX(0,(Assumptions!E$99-Project_Register!$T$23)/(Project_Register!$U$23-Project_Register!$T$23+1)))^2-2*MIN(1,MAX(0,(Assumptions!E$99-Project_Register!$T$23)/(Project_Register!$U$23-Project_Register!$T$23+1)))^3</f>
        <v>0</v>
      </c>
      <c r="F295" s="112" t="n">
        <f aca="false">3*MIN(1,MAX(0,(Assumptions!F$99-Project_Register!$T$23)/(Project_Register!$U$23-Project_Register!$T$23+1)))^2-2*MIN(1,MAX(0,(Assumptions!F$99-Project_Register!$T$23)/(Project_Register!$U$23-Project_Register!$T$23+1)))^3</f>
        <v>0</v>
      </c>
      <c r="G295" s="112" t="n">
        <f aca="false">3*MIN(1,MAX(0,(Assumptions!G$99-Project_Register!$T$23)/(Project_Register!$U$23-Project_Register!$T$23+1)))^2-2*MIN(1,MAX(0,(Assumptions!G$99-Project_Register!$T$23)/(Project_Register!$U$23-Project_Register!$T$23+1)))^3</f>
        <v>0</v>
      </c>
      <c r="H295" s="112" t="n">
        <f aca="false">3*MIN(1,MAX(0,(Assumptions!H$99-Project_Register!$T$23)/(Project_Register!$U$23-Project_Register!$T$23+1)))^2-2*MIN(1,MAX(0,(Assumptions!H$99-Project_Register!$T$23)/(Project_Register!$U$23-Project_Register!$T$23+1)))^3</f>
        <v>0</v>
      </c>
      <c r="I295" s="112" t="n">
        <f aca="false">3*MIN(1,MAX(0,(Assumptions!I$99-Project_Register!$T$23)/(Project_Register!$U$23-Project_Register!$T$23+1)))^2-2*MIN(1,MAX(0,(Assumptions!I$99-Project_Register!$T$23)/(Project_Register!$U$23-Project_Register!$T$23+1)))^3</f>
        <v>0</v>
      </c>
      <c r="J295" s="112" t="n">
        <f aca="false">3*MIN(1,MAX(0,(Assumptions!J$99-Project_Register!$T$23)/(Project_Register!$U$23-Project_Register!$T$23+1)))^2-2*MIN(1,MAX(0,(Assumptions!J$99-Project_Register!$T$23)/(Project_Register!$U$23-Project_Register!$T$23+1)))^3</f>
        <v>0</v>
      </c>
      <c r="K295" s="112" t="n">
        <f aca="false">3*MIN(1,MAX(0,(Assumptions!K$99-Project_Register!$T$23)/(Project_Register!$U$23-Project_Register!$T$23+1)))^2-2*MIN(1,MAX(0,(Assumptions!K$99-Project_Register!$T$23)/(Project_Register!$U$23-Project_Register!$T$23+1)))^3</f>
        <v>0</v>
      </c>
      <c r="L295" s="112" t="n">
        <f aca="false">3*MIN(1,MAX(0,(Assumptions!L$99-Project_Register!$T$23)/(Project_Register!$U$23-Project_Register!$T$23+1)))^2-2*MIN(1,MAX(0,(Assumptions!L$99-Project_Register!$T$23)/(Project_Register!$U$23-Project_Register!$T$23+1)))^3</f>
        <v>0</v>
      </c>
      <c r="M295" s="112" t="n">
        <f aca="false">3*MIN(1,MAX(0,(Assumptions!M$99-Project_Register!$T$23)/(Project_Register!$U$23-Project_Register!$T$23+1)))^2-2*MIN(1,MAX(0,(Assumptions!M$99-Project_Register!$T$23)/(Project_Register!$U$23-Project_Register!$T$23+1)))^3</f>
        <v>0</v>
      </c>
      <c r="N295" s="112" t="n">
        <f aca="false">3*MIN(1,MAX(0,(Assumptions!N$99-Project_Register!$T$23)/(Project_Register!$U$23-Project_Register!$T$23+1)))^2-2*MIN(1,MAX(0,(Assumptions!N$99-Project_Register!$T$23)/(Project_Register!$U$23-Project_Register!$T$23+1)))^3</f>
        <v>0</v>
      </c>
      <c r="O295" s="112" t="n">
        <f aca="false">3*MIN(1,MAX(0,(Assumptions!O$99-Project_Register!$T$23)/(Project_Register!$U$23-Project_Register!$T$23+1)))^2-2*MIN(1,MAX(0,(Assumptions!O$99-Project_Register!$T$23)/(Project_Register!$U$23-Project_Register!$T$23+1)))^3</f>
        <v>0</v>
      </c>
      <c r="P295" s="112" t="n">
        <f aca="false">3*MIN(1,MAX(0,(Assumptions!P$99-Project_Register!$T$23)/(Project_Register!$U$23-Project_Register!$T$23+1)))^2-2*MIN(1,MAX(0,(Assumptions!P$99-Project_Register!$T$23)/(Project_Register!$U$23-Project_Register!$T$23+1)))^3</f>
        <v>0</v>
      </c>
      <c r="Q295" s="112" t="n">
        <f aca="false">3*MIN(1,MAX(0,(Assumptions!Q$99-Project_Register!$T$23)/(Project_Register!$U$23-Project_Register!$T$23+1)))^2-2*MIN(1,MAX(0,(Assumptions!Q$99-Project_Register!$T$23)/(Project_Register!$U$23-Project_Register!$T$23+1)))^3</f>
        <v>0</v>
      </c>
      <c r="R295" s="112" t="n">
        <f aca="false">3*MIN(1,MAX(0,(Assumptions!R$99-Project_Register!$T$23)/(Project_Register!$U$23-Project_Register!$T$23+1)))^2-2*MIN(1,MAX(0,(Assumptions!R$99-Project_Register!$T$23)/(Project_Register!$U$23-Project_Register!$T$23+1)))^3</f>
        <v>0</v>
      </c>
      <c r="S295" s="112" t="n">
        <f aca="false">3*MIN(1,MAX(0,(Assumptions!S$99-Project_Register!$T$23)/(Project_Register!$U$23-Project_Register!$T$23+1)))^2-2*MIN(1,MAX(0,(Assumptions!S$99-Project_Register!$T$23)/(Project_Register!$U$23-Project_Register!$T$23+1)))^3</f>
        <v>0</v>
      </c>
      <c r="T295" s="112" t="n">
        <f aca="false">3*MIN(1,MAX(0,(Assumptions!T$99-Project_Register!$T$23)/(Project_Register!$U$23-Project_Register!$T$23+1)))^2-2*MIN(1,MAX(0,(Assumptions!T$99-Project_Register!$T$23)/(Project_Register!$U$23-Project_Register!$T$23+1)))^3</f>
        <v>0</v>
      </c>
      <c r="U295" s="112" t="n">
        <f aca="false">3*MIN(1,MAX(0,(Assumptions!U$99-Project_Register!$T$23)/(Project_Register!$U$23-Project_Register!$T$23+1)))^2-2*MIN(1,MAX(0,(Assumptions!U$99-Project_Register!$T$23)/(Project_Register!$U$23-Project_Register!$T$23+1)))^3</f>
        <v>0</v>
      </c>
      <c r="V295" s="112" t="n">
        <f aca="false">3*MIN(1,MAX(0,(Assumptions!V$99-Project_Register!$T$23)/(Project_Register!$U$23-Project_Register!$T$23+1)))^2-2*MIN(1,MAX(0,(Assumptions!V$99-Project_Register!$T$23)/(Project_Register!$U$23-Project_Register!$T$23+1)))^3</f>
        <v>0</v>
      </c>
      <c r="W295" s="112" t="n">
        <f aca="false">3*MIN(1,MAX(0,(Assumptions!W$99-Project_Register!$T$23)/(Project_Register!$U$23-Project_Register!$T$23+1)))^2-2*MIN(1,MAX(0,(Assumptions!W$99-Project_Register!$T$23)/(Project_Register!$U$23-Project_Register!$T$23+1)))^3</f>
        <v>0</v>
      </c>
      <c r="X295" s="112" t="n">
        <f aca="false">3*MIN(1,MAX(0,(Assumptions!X$99-Project_Register!$T$23)/(Project_Register!$U$23-Project_Register!$T$23+1)))^2-2*MIN(1,MAX(0,(Assumptions!X$99-Project_Register!$T$23)/(Project_Register!$U$23-Project_Register!$T$23+1)))^3</f>
        <v>0</v>
      </c>
      <c r="Y295" s="112" t="n">
        <f aca="false">3*MIN(1,MAX(0,(Assumptions!Y$99-Project_Register!$T$23)/(Project_Register!$U$23-Project_Register!$T$23+1)))^2-2*MIN(1,MAX(0,(Assumptions!Y$99-Project_Register!$T$23)/(Project_Register!$U$23-Project_Register!$T$23+1)))^3</f>
        <v>0</v>
      </c>
      <c r="Z295" s="112" t="n">
        <f aca="false">3*MIN(1,MAX(0,(Assumptions!Z$99-Project_Register!$T$23)/(Project_Register!$U$23-Project_Register!$T$23+1)))^2-2*MIN(1,MAX(0,(Assumptions!Z$99-Project_Register!$T$23)/(Project_Register!$U$23-Project_Register!$T$23+1)))^3</f>
        <v>0</v>
      </c>
      <c r="AA295" s="112" t="n">
        <f aca="false">3*MIN(1,MAX(0,(Assumptions!AA$99-Project_Register!$T$23)/(Project_Register!$U$23-Project_Register!$T$23+1)))^2-2*MIN(1,MAX(0,(Assumptions!AA$99-Project_Register!$T$23)/(Project_Register!$U$23-Project_Register!$T$23+1)))^3</f>
        <v>0.104</v>
      </c>
      <c r="AB295" s="112" t="n">
        <f aca="false">3*MIN(1,MAX(0,(Assumptions!AB$99-Project_Register!$T$23)/(Project_Register!$U$23-Project_Register!$T$23+1)))^2-2*MIN(1,MAX(0,(Assumptions!AB$99-Project_Register!$T$23)/(Project_Register!$U$23-Project_Register!$T$23+1)))^3</f>
        <v>0.352</v>
      </c>
    </row>
    <row r="296" customFormat="false" ht="15" hidden="false" customHeight="false" outlineLevel="0" collapsed="false">
      <c r="A296" s="28" t="s">
        <v>802</v>
      </c>
      <c r="B296" s="58" t="s">
        <v>910</v>
      </c>
      <c r="C296" s="66" t="n">
        <f aca="false">SUM(E296:P296)</f>
        <v>0</v>
      </c>
      <c r="D296" s="66" t="n">
        <f aca="false">SUM(Q296:AB296)</f>
        <v>1266.84</v>
      </c>
      <c r="E296" s="67" t="n">
        <f aca="false">IF(E$5="A",0,IF((Project_Register!$AA$23-Project_Register!$X$23)&lt;=0,0,IF(1-Project_Register!$AC$23&lt;=0.000001,IF(Assumptions!E$99=Assumptions!$C$10+1,(Project_Register!$AA$23-Project_Register!$X$23),0),(Project_Register!$AA$23-Project_Register!$X$23)*(E294-E295)/(1-Project_Register!$AC$23))))</f>
        <v>0</v>
      </c>
      <c r="F296" s="67" t="n">
        <f aca="false">IF(F$5="A",0,IF((Project_Register!$AA$23-Project_Register!$X$23)&lt;=0,0,IF(1-Project_Register!$AC$23&lt;=0.000001,IF(Assumptions!F$99=Assumptions!$C$10+1,(Project_Register!$AA$23-Project_Register!$X$23),0),(Project_Register!$AA$23-Project_Register!$X$23)*(F294-F295)/(1-Project_Register!$AC$23))))</f>
        <v>0</v>
      </c>
      <c r="G296" s="67" t="n">
        <f aca="false">IF(G$5="A",0,IF((Project_Register!$AA$23-Project_Register!$X$23)&lt;=0,0,IF(1-Project_Register!$AC$23&lt;=0.000001,IF(Assumptions!G$99=Assumptions!$C$10+1,(Project_Register!$AA$23-Project_Register!$X$23),0),(Project_Register!$AA$23-Project_Register!$X$23)*(G294-G295)/(1-Project_Register!$AC$23))))</f>
        <v>0</v>
      </c>
      <c r="H296" s="67" t="n">
        <f aca="false">IF(H$5="A",0,IF((Project_Register!$AA$23-Project_Register!$X$23)&lt;=0,0,IF(1-Project_Register!$AC$23&lt;=0.000001,IF(Assumptions!H$99=Assumptions!$C$10+1,(Project_Register!$AA$23-Project_Register!$X$23),0),(Project_Register!$AA$23-Project_Register!$X$23)*(H294-H295)/(1-Project_Register!$AC$23))))</f>
        <v>0</v>
      </c>
      <c r="I296" s="67" t="n">
        <f aca="false">IF(I$5="A",0,IF((Project_Register!$AA$23-Project_Register!$X$23)&lt;=0,0,IF(1-Project_Register!$AC$23&lt;=0.000001,IF(Assumptions!I$99=Assumptions!$C$10+1,(Project_Register!$AA$23-Project_Register!$X$23),0),(Project_Register!$AA$23-Project_Register!$X$23)*(I294-I295)/(1-Project_Register!$AC$23))))</f>
        <v>0</v>
      </c>
      <c r="J296" s="67" t="n">
        <f aca="false">IF(J$5="A",0,IF((Project_Register!$AA$23-Project_Register!$X$23)&lt;=0,0,IF(1-Project_Register!$AC$23&lt;=0.000001,IF(Assumptions!J$99=Assumptions!$C$10+1,(Project_Register!$AA$23-Project_Register!$X$23),0),(Project_Register!$AA$23-Project_Register!$X$23)*(J294-J295)/(1-Project_Register!$AC$23))))</f>
        <v>0</v>
      </c>
      <c r="K296" s="67" t="n">
        <f aca="false">IF(K$5="A",0,IF((Project_Register!$AA$23-Project_Register!$X$23)&lt;=0,0,IF(1-Project_Register!$AC$23&lt;=0.000001,IF(Assumptions!K$99=Assumptions!$C$10+1,(Project_Register!$AA$23-Project_Register!$X$23),0),(Project_Register!$AA$23-Project_Register!$X$23)*(K294-K295)/(1-Project_Register!$AC$23))))</f>
        <v>0</v>
      </c>
      <c r="L296" s="67" t="n">
        <f aca="false">IF(L$5="A",0,IF((Project_Register!$AA$23-Project_Register!$X$23)&lt;=0,0,IF(1-Project_Register!$AC$23&lt;=0.000001,IF(Assumptions!L$99=Assumptions!$C$10+1,(Project_Register!$AA$23-Project_Register!$X$23),0),(Project_Register!$AA$23-Project_Register!$X$23)*(L294-L295)/(1-Project_Register!$AC$23))))</f>
        <v>0</v>
      </c>
      <c r="M296" s="67" t="n">
        <f aca="false">IF(M$5="A",0,IF((Project_Register!$AA$23-Project_Register!$X$23)&lt;=0,0,IF(1-Project_Register!$AC$23&lt;=0.000001,IF(Assumptions!M$99=Assumptions!$C$10+1,(Project_Register!$AA$23-Project_Register!$X$23),0),(Project_Register!$AA$23-Project_Register!$X$23)*(M294-M295)/(1-Project_Register!$AC$23))))</f>
        <v>0</v>
      </c>
      <c r="N296" s="67" t="n">
        <f aca="false">IF(N$5="A",0,IF((Project_Register!$AA$23-Project_Register!$X$23)&lt;=0,0,IF(1-Project_Register!$AC$23&lt;=0.000001,IF(Assumptions!N$99=Assumptions!$C$10+1,(Project_Register!$AA$23-Project_Register!$X$23),0),(Project_Register!$AA$23-Project_Register!$X$23)*(N294-N295)/(1-Project_Register!$AC$23))))</f>
        <v>0</v>
      </c>
      <c r="O296" s="67" t="n">
        <f aca="false">IF(O$5="A",0,IF((Project_Register!$AA$23-Project_Register!$X$23)&lt;=0,0,IF(1-Project_Register!$AC$23&lt;=0.000001,IF(Assumptions!O$99=Assumptions!$C$10+1,(Project_Register!$AA$23-Project_Register!$X$23),0),(Project_Register!$AA$23-Project_Register!$X$23)*(O294-O295)/(1-Project_Register!$AC$23))))</f>
        <v>0</v>
      </c>
      <c r="P296" s="67" t="n">
        <f aca="false">IF(P$5="A",0,IF((Project_Register!$AA$23-Project_Register!$X$23)&lt;=0,0,IF(1-Project_Register!$AC$23&lt;=0.000001,IF(Assumptions!P$99=Assumptions!$C$10+1,(Project_Register!$AA$23-Project_Register!$X$23),0),(Project_Register!$AA$23-Project_Register!$X$23)*(P294-P295)/(1-Project_Register!$AC$23))))</f>
        <v>0</v>
      </c>
      <c r="Q296" s="67" t="n">
        <f aca="false">IF(Q$5="A",0,IF((Project_Register!$AA$23-Project_Register!$X$23)&lt;=0,0,IF(1-Project_Register!$AC$23&lt;=0.000001,IF(Assumptions!Q$99=Assumptions!$C$10+1,(Project_Register!$AA$23-Project_Register!$X$23),0),(Project_Register!$AA$23-Project_Register!$X$23)*(Q294-Q295)/(1-Project_Register!$AC$23))))</f>
        <v>0</v>
      </c>
      <c r="R296" s="67" t="n">
        <f aca="false">IF(R$5="A",0,IF((Project_Register!$AA$23-Project_Register!$X$23)&lt;=0,0,IF(1-Project_Register!$AC$23&lt;=0.000001,IF(Assumptions!R$99=Assumptions!$C$10+1,(Project_Register!$AA$23-Project_Register!$X$23),0),(Project_Register!$AA$23-Project_Register!$X$23)*(R294-R295)/(1-Project_Register!$AC$23))))</f>
        <v>0</v>
      </c>
      <c r="S296" s="67" t="n">
        <f aca="false">IF(S$5="A",0,IF((Project_Register!$AA$23-Project_Register!$X$23)&lt;=0,0,IF(1-Project_Register!$AC$23&lt;=0.000001,IF(Assumptions!S$99=Assumptions!$C$10+1,(Project_Register!$AA$23-Project_Register!$X$23),0),(Project_Register!$AA$23-Project_Register!$X$23)*(S294-S295)/(1-Project_Register!$AC$23))))</f>
        <v>0</v>
      </c>
      <c r="T296" s="67" t="n">
        <f aca="false">IF(T$5="A",0,IF((Project_Register!$AA$23-Project_Register!$X$23)&lt;=0,0,IF(1-Project_Register!$AC$23&lt;=0.000001,IF(Assumptions!T$99=Assumptions!$C$10+1,(Project_Register!$AA$23-Project_Register!$X$23),0),(Project_Register!$AA$23-Project_Register!$X$23)*(T294-T295)/(1-Project_Register!$AC$23))))</f>
        <v>0</v>
      </c>
      <c r="U296" s="67" t="n">
        <f aca="false">IF(U$5="A",0,IF((Project_Register!$AA$23-Project_Register!$X$23)&lt;=0,0,IF(1-Project_Register!$AC$23&lt;=0.000001,IF(Assumptions!U$99=Assumptions!$C$10+1,(Project_Register!$AA$23-Project_Register!$X$23),0),(Project_Register!$AA$23-Project_Register!$X$23)*(U294-U295)/(1-Project_Register!$AC$23))))</f>
        <v>0</v>
      </c>
      <c r="V296" s="67" t="n">
        <f aca="false">IF(V$5="A",0,IF((Project_Register!$AA$23-Project_Register!$X$23)&lt;=0,0,IF(1-Project_Register!$AC$23&lt;=0.000001,IF(Assumptions!V$99=Assumptions!$C$10+1,(Project_Register!$AA$23-Project_Register!$X$23),0),(Project_Register!$AA$23-Project_Register!$X$23)*(V294-V295)/(1-Project_Register!$AC$23))))</f>
        <v>0</v>
      </c>
      <c r="W296" s="67" t="n">
        <f aca="false">IF(W$5="A",0,IF((Project_Register!$AA$23-Project_Register!$X$23)&lt;=0,0,IF(1-Project_Register!$AC$23&lt;=0.000001,IF(Assumptions!W$99=Assumptions!$C$10+1,(Project_Register!$AA$23-Project_Register!$X$23),0),(Project_Register!$AA$23-Project_Register!$X$23)*(W294-W295)/(1-Project_Register!$AC$23))))</f>
        <v>0</v>
      </c>
      <c r="X296" s="67" t="n">
        <f aca="false">IF(X$5="A",0,IF((Project_Register!$AA$23-Project_Register!$X$23)&lt;=0,0,IF(1-Project_Register!$AC$23&lt;=0.000001,IF(Assumptions!X$99=Assumptions!$C$10+1,(Project_Register!$AA$23-Project_Register!$X$23),0),(Project_Register!$AA$23-Project_Register!$X$23)*(X294-X295)/(1-Project_Register!$AC$23))))</f>
        <v>0</v>
      </c>
      <c r="Y296" s="67" t="n">
        <f aca="false">IF(Y$5="A",0,IF((Project_Register!$AA$23-Project_Register!$X$23)&lt;=0,0,IF(1-Project_Register!$AC$23&lt;=0.000001,IF(Assumptions!Y$99=Assumptions!$C$10+1,(Project_Register!$AA$23-Project_Register!$X$23),0),(Project_Register!$AA$23-Project_Register!$X$23)*(Y294-Y295)/(1-Project_Register!$AC$23))))</f>
        <v>0</v>
      </c>
      <c r="Z296" s="67" t="n">
        <f aca="false">IF(Z$5="A",0,IF((Project_Register!$AA$23-Project_Register!$X$23)&lt;=0,0,IF(1-Project_Register!$AC$23&lt;=0.000001,IF(Assumptions!Z$99=Assumptions!$C$10+1,(Project_Register!$AA$23-Project_Register!$X$23),0),(Project_Register!$AA$23-Project_Register!$X$23)*(Z294-Z295)/(1-Project_Register!$AC$23))))</f>
        <v>203.32</v>
      </c>
      <c r="AA296" s="67" t="n">
        <f aca="false">IF(AA$5="A",0,IF((Project_Register!$AA$23-Project_Register!$X$23)&lt;=0,0,IF(1-Project_Register!$AC$23&lt;=0.000001,IF(Assumptions!AA$99=Assumptions!$C$10+1,(Project_Register!$AA$23-Project_Register!$X$23),0),(Project_Register!$AA$23-Project_Register!$X$23)*(AA294-AA295)/(1-Project_Register!$AC$23))))</f>
        <v>484.84</v>
      </c>
      <c r="AB296" s="67" t="n">
        <f aca="false">IF(AB$5="A",0,IF((Project_Register!$AA$23-Project_Register!$X$23)&lt;=0,0,IF(1-Project_Register!$AC$23&lt;=0.000001,IF(Assumptions!AB$99=Assumptions!$C$10+1,(Project_Register!$AA$23-Project_Register!$X$23),0),(Project_Register!$AA$23-Project_Register!$X$23)*(AB294-AB295)/(1-Project_Register!$AC$23))))</f>
        <v>578.68</v>
      </c>
    </row>
    <row r="297" customFormat="false" ht="15" hidden="false" customHeight="false" outlineLevel="0" collapsed="false">
      <c r="A297" s="28" t="s">
        <v>911</v>
      </c>
      <c r="B297" s="58" t="s">
        <v>912</v>
      </c>
      <c r="C297" s="66" t="n">
        <f aca="false">P297</f>
        <v>0</v>
      </c>
      <c r="D297" s="66" t="n">
        <f aca="false">AB297</f>
        <v>1266.84</v>
      </c>
      <c r="E297" s="67" t="n">
        <f aca="false">Project_Register!$P$23+E296</f>
        <v>0</v>
      </c>
      <c r="F297" s="72" t="n">
        <f aca="false">E297+F296</f>
        <v>0</v>
      </c>
      <c r="G297" s="72" t="n">
        <f aca="false">F297+G296</f>
        <v>0</v>
      </c>
      <c r="H297" s="72" t="n">
        <f aca="false">G297+H296</f>
        <v>0</v>
      </c>
      <c r="I297" s="72" t="n">
        <f aca="false">H297+I296</f>
        <v>0</v>
      </c>
      <c r="J297" s="72" t="n">
        <f aca="false">I297+J296</f>
        <v>0</v>
      </c>
      <c r="K297" s="72" t="n">
        <f aca="false">J297+K296</f>
        <v>0</v>
      </c>
      <c r="L297" s="72" t="n">
        <f aca="false">K297+L296</f>
        <v>0</v>
      </c>
      <c r="M297" s="72" t="n">
        <f aca="false">L297+M296</f>
        <v>0</v>
      </c>
      <c r="N297" s="72" t="n">
        <f aca="false">M297+N296</f>
        <v>0</v>
      </c>
      <c r="O297" s="72" t="n">
        <f aca="false">N297+O296</f>
        <v>0</v>
      </c>
      <c r="P297" s="72" t="n">
        <f aca="false">O297+P296</f>
        <v>0</v>
      </c>
      <c r="Q297" s="72" t="n">
        <f aca="false">P297+Q296</f>
        <v>0</v>
      </c>
      <c r="R297" s="72" t="n">
        <f aca="false">Q297+R296</f>
        <v>0</v>
      </c>
      <c r="S297" s="72" t="n">
        <f aca="false">R297+S296</f>
        <v>0</v>
      </c>
      <c r="T297" s="72" t="n">
        <f aca="false">S297+T296</f>
        <v>0</v>
      </c>
      <c r="U297" s="72" t="n">
        <f aca="false">T297+U296</f>
        <v>0</v>
      </c>
      <c r="V297" s="72" t="n">
        <f aca="false">U297+V296</f>
        <v>0</v>
      </c>
      <c r="W297" s="72" t="n">
        <f aca="false">V297+W296</f>
        <v>0</v>
      </c>
      <c r="X297" s="72" t="n">
        <f aca="false">W297+X296</f>
        <v>0</v>
      </c>
      <c r="Y297" s="72" t="n">
        <f aca="false">X297+Y296</f>
        <v>0</v>
      </c>
      <c r="Z297" s="72" t="n">
        <f aca="false">Y297+Z296</f>
        <v>203.32</v>
      </c>
      <c r="AA297" s="72" t="n">
        <f aca="false">Z297+AA296</f>
        <v>688.16</v>
      </c>
      <c r="AB297" s="72" t="n">
        <f aca="false">AA297+AB296</f>
        <v>1266.84</v>
      </c>
    </row>
    <row r="298" customFormat="false" ht="15" hidden="false" customHeight="false" outlineLevel="0" collapsed="false">
      <c r="A298" s="28" t="s">
        <v>913</v>
      </c>
      <c r="B298" s="58" t="s">
        <v>914</v>
      </c>
      <c r="C298" s="66" t="n">
        <f aca="false">P298</f>
        <v>1955</v>
      </c>
      <c r="D298" s="66" t="n">
        <f aca="false">AB298</f>
        <v>1955</v>
      </c>
      <c r="E298" s="67" t="n">
        <f aca="false">IF(E$5="A",Project_Register!$AA$23,Project_Register!$AA$23)</f>
        <v>1955</v>
      </c>
      <c r="F298" s="67" t="n">
        <f aca="false">IF(F$5="A",Project_Register!$AA$23,Project_Register!$AA$23)</f>
        <v>1955</v>
      </c>
      <c r="G298" s="67" t="n">
        <f aca="false">IF(G$5="A",Project_Register!$AA$23,Project_Register!$AA$23)</f>
        <v>1955</v>
      </c>
      <c r="H298" s="67" t="n">
        <f aca="false">IF(H$5="A",Project_Register!$AA$23,Project_Register!$AA$23)</f>
        <v>1955</v>
      </c>
      <c r="I298" s="67" t="n">
        <f aca="false">IF(I$5="A",Project_Register!$AA$23,Project_Register!$AA$23)</f>
        <v>1955</v>
      </c>
      <c r="J298" s="67" t="n">
        <f aca="false">IF(J$5="A",Project_Register!$AA$23,Project_Register!$AA$23)</f>
        <v>1955</v>
      </c>
      <c r="K298" s="67" t="n">
        <f aca="false">IF(K$5="A",Project_Register!$AA$23,Project_Register!$AA$23)</f>
        <v>1955</v>
      </c>
      <c r="L298" s="67" t="n">
        <f aca="false">IF(L$5="A",Project_Register!$AA$23,Project_Register!$AA$23)</f>
        <v>1955</v>
      </c>
      <c r="M298" s="67" t="n">
        <f aca="false">IF(M$5="A",Project_Register!$AA$23,Project_Register!$AA$23)</f>
        <v>1955</v>
      </c>
      <c r="N298" s="67" t="n">
        <f aca="false">IF(N$5="A",Project_Register!$AA$23,Project_Register!$AA$23)</f>
        <v>1955</v>
      </c>
      <c r="O298" s="67" t="n">
        <f aca="false">IF(O$5="A",Project_Register!$AA$23,Project_Register!$AA$23)</f>
        <v>1955</v>
      </c>
      <c r="P298" s="67" t="n">
        <f aca="false">IF(P$5="A",Project_Register!$AA$23,Project_Register!$AA$23)</f>
        <v>1955</v>
      </c>
      <c r="Q298" s="67" t="n">
        <f aca="false">IF(Q$5="A",Project_Register!$AA$23,Project_Register!$AA$23)</f>
        <v>1955</v>
      </c>
      <c r="R298" s="67" t="n">
        <f aca="false">IF(R$5="A",Project_Register!$AA$23,Project_Register!$AA$23)</f>
        <v>1955</v>
      </c>
      <c r="S298" s="67" t="n">
        <f aca="false">IF(S$5="A",Project_Register!$AA$23,Project_Register!$AA$23)</f>
        <v>1955</v>
      </c>
      <c r="T298" s="67" t="n">
        <f aca="false">IF(T$5="A",Project_Register!$AA$23,Project_Register!$AA$23)</f>
        <v>1955</v>
      </c>
      <c r="U298" s="67" t="n">
        <f aca="false">IF(U$5="A",Project_Register!$AA$23,Project_Register!$AA$23)</f>
        <v>1955</v>
      </c>
      <c r="V298" s="67" t="n">
        <f aca="false">IF(V$5="A",Project_Register!$AA$23,Project_Register!$AA$23)</f>
        <v>1955</v>
      </c>
      <c r="W298" s="67" t="n">
        <f aca="false">IF(W$5="A",Project_Register!$AA$23,Project_Register!$AA$23)</f>
        <v>1955</v>
      </c>
      <c r="X298" s="67" t="n">
        <f aca="false">IF(X$5="A",Project_Register!$AA$23,Project_Register!$AA$23)</f>
        <v>1955</v>
      </c>
      <c r="Y298" s="67" t="n">
        <f aca="false">IF(Y$5="A",Project_Register!$AA$23,Project_Register!$AA$23)</f>
        <v>1955</v>
      </c>
      <c r="Z298" s="67" t="n">
        <f aca="false">IF(Z$5="A",Project_Register!$AA$23,Project_Register!$AA$23)</f>
        <v>1955</v>
      </c>
      <c r="AA298" s="67" t="n">
        <f aca="false">IF(AA$5="A",Project_Register!$AA$23,Project_Register!$AA$23)</f>
        <v>1955</v>
      </c>
      <c r="AB298" s="67" t="n">
        <f aca="false">IF(AB$5="A",Project_Register!$AA$23,Project_Register!$AA$23)</f>
        <v>1955</v>
      </c>
    </row>
    <row r="299" customFormat="false" ht="15" hidden="false" customHeight="false" outlineLevel="0" collapsed="false">
      <c r="A299" s="28" t="s">
        <v>915</v>
      </c>
      <c r="B299" s="58" t="s">
        <v>916</v>
      </c>
      <c r="C299" s="61" t="n">
        <f aca="false">P299</f>
        <v>0</v>
      </c>
      <c r="D299" s="61" t="n">
        <f aca="false">AB299</f>
        <v>0.648</v>
      </c>
      <c r="E299" s="62" t="n">
        <f aca="false">IF(E298&lt;=0,0,MIN(1,E297/E298))</f>
        <v>0</v>
      </c>
      <c r="F299" s="62" t="n">
        <f aca="false">IF(F298&lt;=0,0,MIN(1,F297/F298))</f>
        <v>0</v>
      </c>
      <c r="G299" s="62" t="n">
        <f aca="false">IF(G298&lt;=0,0,MIN(1,G297/G298))</f>
        <v>0</v>
      </c>
      <c r="H299" s="62" t="n">
        <f aca="false">IF(H298&lt;=0,0,MIN(1,H297/H298))</f>
        <v>0</v>
      </c>
      <c r="I299" s="62" t="n">
        <f aca="false">IF(I298&lt;=0,0,MIN(1,I297/I298))</f>
        <v>0</v>
      </c>
      <c r="J299" s="62" t="n">
        <f aca="false">IF(J298&lt;=0,0,MIN(1,J297/J298))</f>
        <v>0</v>
      </c>
      <c r="K299" s="62" t="n">
        <f aca="false">IF(K298&lt;=0,0,MIN(1,K297/K298))</f>
        <v>0</v>
      </c>
      <c r="L299" s="62" t="n">
        <f aca="false">IF(L298&lt;=0,0,MIN(1,L297/L298))</f>
        <v>0</v>
      </c>
      <c r="M299" s="62" t="n">
        <f aca="false">IF(M298&lt;=0,0,MIN(1,M297/M298))</f>
        <v>0</v>
      </c>
      <c r="N299" s="62" t="n">
        <f aca="false">IF(N298&lt;=0,0,MIN(1,N297/N298))</f>
        <v>0</v>
      </c>
      <c r="O299" s="62" t="n">
        <f aca="false">IF(O298&lt;=0,0,MIN(1,O297/O298))</f>
        <v>0</v>
      </c>
      <c r="P299" s="62" t="n">
        <f aca="false">IF(P298&lt;=0,0,MIN(1,P297/P298))</f>
        <v>0</v>
      </c>
      <c r="Q299" s="62" t="n">
        <f aca="false">IF(Q298&lt;=0,0,MIN(1,Q297/Q298))</f>
        <v>0</v>
      </c>
      <c r="R299" s="62" t="n">
        <f aca="false">IF(R298&lt;=0,0,MIN(1,R297/R298))</f>
        <v>0</v>
      </c>
      <c r="S299" s="62" t="n">
        <f aca="false">IF(S298&lt;=0,0,MIN(1,S297/S298))</f>
        <v>0</v>
      </c>
      <c r="T299" s="62" t="n">
        <f aca="false">IF(T298&lt;=0,0,MIN(1,T297/T298))</f>
        <v>0</v>
      </c>
      <c r="U299" s="62" t="n">
        <f aca="false">IF(U298&lt;=0,0,MIN(1,U297/U298))</f>
        <v>0</v>
      </c>
      <c r="V299" s="62" t="n">
        <f aca="false">IF(V298&lt;=0,0,MIN(1,V297/V298))</f>
        <v>0</v>
      </c>
      <c r="W299" s="62" t="n">
        <f aca="false">IF(W298&lt;=0,0,MIN(1,W297/W298))</f>
        <v>0</v>
      </c>
      <c r="X299" s="62" t="n">
        <f aca="false">IF(X298&lt;=0,0,MIN(1,X297/X298))</f>
        <v>0</v>
      </c>
      <c r="Y299" s="62" t="n">
        <f aca="false">IF(Y298&lt;=0,0,MIN(1,Y297/Y298))</f>
        <v>0</v>
      </c>
      <c r="Z299" s="62" t="n">
        <f aca="false">IF(Z298&lt;=0,0,MIN(1,Z297/Z298))</f>
        <v>0.104</v>
      </c>
      <c r="AA299" s="62" t="n">
        <f aca="false">IF(AA298&lt;=0,0,MIN(1,AA297/AA298))</f>
        <v>0.352</v>
      </c>
      <c r="AB299" s="62" t="n">
        <f aca="false">IF(AB298&lt;=0,0,MIN(1,AB297/AB298))</f>
        <v>0.648</v>
      </c>
    </row>
    <row r="300" customFormat="false" ht="15" hidden="false" customHeight="false" outlineLevel="0" collapsed="false">
      <c r="A300" s="28" t="s">
        <v>917</v>
      </c>
      <c r="B300" s="58" t="s">
        <v>918</v>
      </c>
      <c r="C300" s="59" t="n">
        <f aca="false">P300</f>
        <v>204000</v>
      </c>
      <c r="D300" s="59" t="n">
        <f aca="false">AB300</f>
        <v>204000</v>
      </c>
      <c r="E300" s="60" t="n">
        <f aca="false">IF(E$5="A",0,Project_Register!$W$23)</f>
        <v>0</v>
      </c>
      <c r="F300" s="60" t="n">
        <f aca="false">IF(F$5="A",0,Project_Register!$W$23)</f>
        <v>0</v>
      </c>
      <c r="G300" s="60" t="n">
        <f aca="false">IF(G$5="A",0,Project_Register!$W$23)</f>
        <v>0</v>
      </c>
      <c r="H300" s="60" t="n">
        <f aca="false">IF(H$5="A",0,Project_Register!$W$23)</f>
        <v>0</v>
      </c>
      <c r="I300" s="60" t="n">
        <f aca="false">IF(I$5="A",0,Project_Register!$W$23)</f>
        <v>0</v>
      </c>
      <c r="J300" s="60" t="n">
        <f aca="false">IF(J$5="A",0,Project_Register!$W$23)</f>
        <v>0</v>
      </c>
      <c r="K300" s="60" t="n">
        <f aca="false">IF(K$5="A",0,Project_Register!$W$23)</f>
        <v>0</v>
      </c>
      <c r="L300" s="60" t="n">
        <f aca="false">IF(L$5="A",0,Project_Register!$W$23)</f>
        <v>0</v>
      </c>
      <c r="M300" s="60" t="n">
        <f aca="false">IF(M$5="A",0,Project_Register!$W$23)</f>
        <v>204000</v>
      </c>
      <c r="N300" s="60" t="n">
        <f aca="false">IF(N$5="A",0,Project_Register!$W$23)</f>
        <v>204000</v>
      </c>
      <c r="O300" s="60" t="n">
        <f aca="false">IF(O$5="A",0,Project_Register!$W$23)</f>
        <v>204000</v>
      </c>
      <c r="P300" s="60" t="n">
        <f aca="false">IF(P$5="A",0,Project_Register!$W$23)</f>
        <v>204000</v>
      </c>
      <c r="Q300" s="60" t="n">
        <f aca="false">IF(Q$5="A",0,Project_Register!$W$23)</f>
        <v>204000</v>
      </c>
      <c r="R300" s="60" t="n">
        <f aca="false">IF(R$5="A",0,Project_Register!$W$23)</f>
        <v>204000</v>
      </c>
      <c r="S300" s="60" t="n">
        <f aca="false">IF(S$5="A",0,Project_Register!$W$23)</f>
        <v>204000</v>
      </c>
      <c r="T300" s="60" t="n">
        <f aca="false">IF(T$5="A",0,Project_Register!$W$23)</f>
        <v>204000</v>
      </c>
      <c r="U300" s="60" t="n">
        <f aca="false">IF(U$5="A",0,Project_Register!$W$23)</f>
        <v>204000</v>
      </c>
      <c r="V300" s="60" t="n">
        <f aca="false">IF(V$5="A",0,Project_Register!$W$23)</f>
        <v>204000</v>
      </c>
      <c r="W300" s="60" t="n">
        <f aca="false">IF(W$5="A",0,Project_Register!$W$23)</f>
        <v>204000</v>
      </c>
      <c r="X300" s="60" t="n">
        <f aca="false">IF(X$5="A",0,Project_Register!$W$23)</f>
        <v>204000</v>
      </c>
      <c r="Y300" s="60" t="n">
        <f aca="false">IF(Y$5="A",0,Project_Register!$W$23)</f>
        <v>204000</v>
      </c>
      <c r="Z300" s="60" t="n">
        <f aca="false">IF(Z$5="A",0,Project_Register!$W$23)</f>
        <v>204000</v>
      </c>
      <c r="AA300" s="60" t="n">
        <f aca="false">IF(AA$5="A",0,Project_Register!$W$23)</f>
        <v>204000</v>
      </c>
      <c r="AB300" s="60" t="n">
        <f aca="false">IF(AB$5="A",0,Project_Register!$W$23)</f>
        <v>204000</v>
      </c>
    </row>
    <row r="301" customFormat="false" ht="15" hidden="false" customHeight="false" outlineLevel="0" collapsed="false">
      <c r="A301" s="28" t="s">
        <v>919</v>
      </c>
      <c r="B301" s="58" t="s">
        <v>920</v>
      </c>
      <c r="C301" s="59" t="n">
        <f aca="false">P301</f>
        <v>0</v>
      </c>
      <c r="D301" s="59" t="n">
        <f aca="false">AB301</f>
        <v>132192</v>
      </c>
      <c r="E301" s="60" t="n">
        <f aca="false">IF(E$5="A",Project_Register!$Q$23+0,E299*E300)</f>
        <v>0</v>
      </c>
      <c r="F301" s="71" t="n">
        <f aca="false">IF(F$5="A",E301+0,F299*F300)</f>
        <v>0</v>
      </c>
      <c r="G301" s="71" t="n">
        <f aca="false">IF(G$5="A",F301+0,G299*G300)</f>
        <v>0</v>
      </c>
      <c r="H301" s="71" t="n">
        <f aca="false">IF(H$5="A",G301+0,H299*H300)</f>
        <v>0</v>
      </c>
      <c r="I301" s="71" t="n">
        <f aca="false">IF(I$5="A",H301+0,I299*I300)</f>
        <v>0</v>
      </c>
      <c r="J301" s="71" t="n">
        <f aca="false">IF(J$5="A",I301+0,J299*J300)</f>
        <v>0</v>
      </c>
      <c r="K301" s="71" t="n">
        <f aca="false">IF(K$5="A",J301+0,K299*K300)</f>
        <v>0</v>
      </c>
      <c r="L301" s="71" t="n">
        <f aca="false">IF(L$5="A",K301+0,L299*L300)</f>
        <v>0</v>
      </c>
      <c r="M301" s="71" t="n">
        <f aca="false">IF(M$5="A",L301+0,M299*M300)</f>
        <v>0</v>
      </c>
      <c r="N301" s="71" t="n">
        <f aca="false">IF(N$5="A",M301+0,N299*N300)</f>
        <v>0</v>
      </c>
      <c r="O301" s="71" t="n">
        <f aca="false">IF(O$5="A",N301+0,O299*O300)</f>
        <v>0</v>
      </c>
      <c r="P301" s="71" t="n">
        <f aca="false">IF(P$5="A",O301+0,P299*P300)</f>
        <v>0</v>
      </c>
      <c r="Q301" s="71" t="n">
        <f aca="false">IF(Q$5="A",P301+0,Q299*Q300)</f>
        <v>0</v>
      </c>
      <c r="R301" s="71" t="n">
        <f aca="false">IF(R$5="A",Q301+0,R299*R300)</f>
        <v>0</v>
      </c>
      <c r="S301" s="71" t="n">
        <f aca="false">IF(S$5="A",R301+0,S299*S300)</f>
        <v>0</v>
      </c>
      <c r="T301" s="71" t="n">
        <f aca="false">IF(T$5="A",S301+0,T299*T300)</f>
        <v>0</v>
      </c>
      <c r="U301" s="71" t="n">
        <f aca="false">IF(U$5="A",T301+0,U299*U300)</f>
        <v>0</v>
      </c>
      <c r="V301" s="71" t="n">
        <f aca="false">IF(V$5="A",U301+0,V299*V300)</f>
        <v>0</v>
      </c>
      <c r="W301" s="71" t="n">
        <f aca="false">IF(W$5="A",V301+0,W299*W300)</f>
        <v>0</v>
      </c>
      <c r="X301" s="71" t="n">
        <f aca="false">IF(X$5="A",W301+0,X299*X300)</f>
        <v>0</v>
      </c>
      <c r="Y301" s="71" t="n">
        <f aca="false">IF(Y$5="A",X301+0,Y299*Y300)</f>
        <v>0</v>
      </c>
      <c r="Z301" s="71" t="n">
        <f aca="false">IF(Z$5="A",Y301+0,Z299*Z300)</f>
        <v>21216</v>
      </c>
      <c r="AA301" s="71" t="n">
        <f aca="false">IF(AA$5="A",Z301+0,AA299*AA300)</f>
        <v>71808</v>
      </c>
      <c r="AB301" s="71" t="n">
        <f aca="false">IF(AB$5="A",AA301+0,AB299*AB300)</f>
        <v>132192</v>
      </c>
    </row>
    <row r="302" customFormat="false" ht="15" hidden="false" customHeight="false" outlineLevel="0" collapsed="false">
      <c r="A302" s="68" t="s">
        <v>921</v>
      </c>
      <c r="B302" s="69" t="s">
        <v>922</v>
      </c>
      <c r="C302" s="70" t="n">
        <f aca="false">SUM(E302:P302)</f>
        <v>0</v>
      </c>
      <c r="D302" s="70" t="n">
        <f aca="false">SUM(Q302:AB302)</f>
        <v>132192</v>
      </c>
      <c r="E302" s="74" t="n">
        <f aca="false">E301-Project_Register!$Q$23</f>
        <v>0</v>
      </c>
      <c r="F302" s="70" t="n">
        <f aca="false">F301-E301</f>
        <v>0</v>
      </c>
      <c r="G302" s="70" t="n">
        <f aca="false">G301-F301</f>
        <v>0</v>
      </c>
      <c r="H302" s="70" t="n">
        <f aca="false">H301-G301</f>
        <v>0</v>
      </c>
      <c r="I302" s="70" t="n">
        <f aca="false">I301-H301</f>
        <v>0</v>
      </c>
      <c r="J302" s="70" t="n">
        <f aca="false">J301-I301</f>
        <v>0</v>
      </c>
      <c r="K302" s="70" t="n">
        <f aca="false">K301-J301</f>
        <v>0</v>
      </c>
      <c r="L302" s="70" t="n">
        <f aca="false">L301-K301</f>
        <v>0</v>
      </c>
      <c r="M302" s="70" t="n">
        <f aca="false">M301-L301</f>
        <v>0</v>
      </c>
      <c r="N302" s="70" t="n">
        <f aca="false">N301-M301</f>
        <v>0</v>
      </c>
      <c r="O302" s="70" t="n">
        <f aca="false">O301-N301</f>
        <v>0</v>
      </c>
      <c r="P302" s="70" t="n">
        <f aca="false">P301-O301</f>
        <v>0</v>
      </c>
      <c r="Q302" s="70" t="n">
        <f aca="false">Q301-P301</f>
        <v>0</v>
      </c>
      <c r="R302" s="70" t="n">
        <f aca="false">R301-Q301</f>
        <v>0</v>
      </c>
      <c r="S302" s="70" t="n">
        <f aca="false">S301-R301</f>
        <v>0</v>
      </c>
      <c r="T302" s="70" t="n">
        <f aca="false">T301-S301</f>
        <v>0</v>
      </c>
      <c r="U302" s="70" t="n">
        <f aca="false">U301-T301</f>
        <v>0</v>
      </c>
      <c r="V302" s="70" t="n">
        <f aca="false">V301-U301</f>
        <v>0</v>
      </c>
      <c r="W302" s="70" t="n">
        <f aca="false">W301-V301</f>
        <v>0</v>
      </c>
      <c r="X302" s="70" t="n">
        <f aca="false">X301-W301</f>
        <v>0</v>
      </c>
      <c r="Y302" s="70" t="n">
        <f aca="false">Y301-X301</f>
        <v>0</v>
      </c>
      <c r="Z302" s="70" t="n">
        <f aca="false">Z301-Y301</f>
        <v>21216</v>
      </c>
      <c r="AA302" s="70" t="n">
        <f aca="false">AA301-Z301</f>
        <v>50592</v>
      </c>
      <c r="AB302" s="70" t="n">
        <f aca="false">AB301-AA301</f>
        <v>60384</v>
      </c>
    </row>
    <row r="303" customFormat="false" ht="15" hidden="false" customHeight="false" outlineLevel="0" collapsed="false">
      <c r="A303" s="28" t="s">
        <v>923</v>
      </c>
      <c r="B303" s="58" t="s">
        <v>924</v>
      </c>
      <c r="C303" s="59" t="n">
        <f aca="false">P303</f>
        <v>0</v>
      </c>
      <c r="D303" s="59" t="n">
        <f aca="false">AB303</f>
        <v>142800</v>
      </c>
      <c r="E303" s="60" t="n">
        <f aca="false">E300*(Assumptions!$C$71*(Assumptions!E$99&gt;=Project_Register!$T$23)+Assumptions!$C$72*(Assumptions!E$99&gt;=Project_Register!$V$23)+Assumptions!$C$73*(Assumptions!E$99&gt;=Project_Register!$U$23))</f>
        <v>0</v>
      </c>
      <c r="F303" s="60" t="n">
        <f aca="false">F300*(Assumptions!$C$71*(Assumptions!F$99&gt;=Project_Register!$T$23)+Assumptions!$C$72*(Assumptions!F$99&gt;=Project_Register!$V$23)+Assumptions!$C$73*(Assumptions!F$99&gt;=Project_Register!$U$23))</f>
        <v>0</v>
      </c>
      <c r="G303" s="60" t="n">
        <f aca="false">G300*(Assumptions!$C$71*(Assumptions!G$99&gt;=Project_Register!$T$23)+Assumptions!$C$72*(Assumptions!G$99&gt;=Project_Register!$V$23)+Assumptions!$C$73*(Assumptions!G$99&gt;=Project_Register!$U$23))</f>
        <v>0</v>
      </c>
      <c r="H303" s="60" t="n">
        <f aca="false">H300*(Assumptions!$C$71*(Assumptions!H$99&gt;=Project_Register!$T$23)+Assumptions!$C$72*(Assumptions!H$99&gt;=Project_Register!$V$23)+Assumptions!$C$73*(Assumptions!H$99&gt;=Project_Register!$U$23))</f>
        <v>0</v>
      </c>
      <c r="I303" s="60" t="n">
        <f aca="false">I300*(Assumptions!$C$71*(Assumptions!I$99&gt;=Project_Register!$T$23)+Assumptions!$C$72*(Assumptions!I$99&gt;=Project_Register!$V$23)+Assumptions!$C$73*(Assumptions!I$99&gt;=Project_Register!$U$23))</f>
        <v>0</v>
      </c>
      <c r="J303" s="60" t="n">
        <f aca="false">J300*(Assumptions!$C$71*(Assumptions!J$99&gt;=Project_Register!$T$23)+Assumptions!$C$72*(Assumptions!J$99&gt;=Project_Register!$V$23)+Assumptions!$C$73*(Assumptions!J$99&gt;=Project_Register!$U$23))</f>
        <v>0</v>
      </c>
      <c r="K303" s="60" t="n">
        <f aca="false">K300*(Assumptions!$C$71*(Assumptions!K$99&gt;=Project_Register!$T$23)+Assumptions!$C$72*(Assumptions!K$99&gt;=Project_Register!$V$23)+Assumptions!$C$73*(Assumptions!K$99&gt;=Project_Register!$U$23))</f>
        <v>0</v>
      </c>
      <c r="L303" s="60" t="n">
        <f aca="false">L300*(Assumptions!$C$71*(Assumptions!L$99&gt;=Project_Register!$T$23)+Assumptions!$C$72*(Assumptions!L$99&gt;=Project_Register!$V$23)+Assumptions!$C$73*(Assumptions!L$99&gt;=Project_Register!$U$23))</f>
        <v>0</v>
      </c>
      <c r="M303" s="60" t="n">
        <f aca="false">M300*(Assumptions!$C$71*(Assumptions!M$99&gt;=Project_Register!$T$23)+Assumptions!$C$72*(Assumptions!M$99&gt;=Project_Register!$V$23)+Assumptions!$C$73*(Assumptions!M$99&gt;=Project_Register!$U$23))</f>
        <v>0</v>
      </c>
      <c r="N303" s="60" t="n">
        <f aca="false">N300*(Assumptions!$C$71*(Assumptions!N$99&gt;=Project_Register!$T$23)+Assumptions!$C$72*(Assumptions!N$99&gt;=Project_Register!$V$23)+Assumptions!$C$73*(Assumptions!N$99&gt;=Project_Register!$U$23))</f>
        <v>0</v>
      </c>
      <c r="O303" s="60" t="n">
        <f aca="false">O300*(Assumptions!$C$71*(Assumptions!O$99&gt;=Project_Register!$T$23)+Assumptions!$C$72*(Assumptions!O$99&gt;=Project_Register!$V$23)+Assumptions!$C$73*(Assumptions!O$99&gt;=Project_Register!$U$23))</f>
        <v>0</v>
      </c>
      <c r="P303" s="60" t="n">
        <f aca="false">P300*(Assumptions!$C$71*(Assumptions!P$99&gt;=Project_Register!$T$23)+Assumptions!$C$72*(Assumptions!P$99&gt;=Project_Register!$V$23)+Assumptions!$C$73*(Assumptions!P$99&gt;=Project_Register!$U$23))</f>
        <v>0</v>
      </c>
      <c r="Q303" s="60" t="n">
        <f aca="false">Q300*(Assumptions!$C$71*(Assumptions!Q$99&gt;=Project_Register!$T$23)+Assumptions!$C$72*(Assumptions!Q$99&gt;=Project_Register!$V$23)+Assumptions!$C$73*(Assumptions!Q$99&gt;=Project_Register!$U$23))</f>
        <v>0</v>
      </c>
      <c r="R303" s="60" t="n">
        <f aca="false">R300*(Assumptions!$C$71*(Assumptions!R$99&gt;=Project_Register!$T$23)+Assumptions!$C$72*(Assumptions!R$99&gt;=Project_Register!$V$23)+Assumptions!$C$73*(Assumptions!R$99&gt;=Project_Register!$U$23))</f>
        <v>0</v>
      </c>
      <c r="S303" s="60" t="n">
        <f aca="false">S300*(Assumptions!$C$71*(Assumptions!S$99&gt;=Project_Register!$T$23)+Assumptions!$C$72*(Assumptions!S$99&gt;=Project_Register!$V$23)+Assumptions!$C$73*(Assumptions!S$99&gt;=Project_Register!$U$23))</f>
        <v>0</v>
      </c>
      <c r="T303" s="60" t="n">
        <f aca="false">T300*(Assumptions!$C$71*(Assumptions!T$99&gt;=Project_Register!$T$23)+Assumptions!$C$72*(Assumptions!T$99&gt;=Project_Register!$V$23)+Assumptions!$C$73*(Assumptions!T$99&gt;=Project_Register!$U$23))</f>
        <v>0</v>
      </c>
      <c r="U303" s="60" t="n">
        <f aca="false">U300*(Assumptions!$C$71*(Assumptions!U$99&gt;=Project_Register!$T$23)+Assumptions!$C$72*(Assumptions!U$99&gt;=Project_Register!$V$23)+Assumptions!$C$73*(Assumptions!U$99&gt;=Project_Register!$U$23))</f>
        <v>0</v>
      </c>
      <c r="V303" s="60" t="n">
        <f aca="false">V300*(Assumptions!$C$71*(Assumptions!V$99&gt;=Project_Register!$T$23)+Assumptions!$C$72*(Assumptions!V$99&gt;=Project_Register!$V$23)+Assumptions!$C$73*(Assumptions!V$99&gt;=Project_Register!$U$23))</f>
        <v>0</v>
      </c>
      <c r="W303" s="60" t="n">
        <f aca="false">W300*(Assumptions!$C$71*(Assumptions!W$99&gt;=Project_Register!$T$23)+Assumptions!$C$72*(Assumptions!W$99&gt;=Project_Register!$V$23)+Assumptions!$C$73*(Assumptions!W$99&gt;=Project_Register!$U$23))</f>
        <v>0</v>
      </c>
      <c r="X303" s="60" t="n">
        <f aca="false">X300*(Assumptions!$C$71*(Assumptions!X$99&gt;=Project_Register!$T$23)+Assumptions!$C$72*(Assumptions!X$99&gt;=Project_Register!$V$23)+Assumptions!$C$73*(Assumptions!X$99&gt;=Project_Register!$U$23))</f>
        <v>0</v>
      </c>
      <c r="Y303" s="60" t="n">
        <f aca="false">Y300*(Assumptions!$C$71*(Assumptions!Y$99&gt;=Project_Register!$T$23)+Assumptions!$C$72*(Assumptions!Y$99&gt;=Project_Register!$V$23)+Assumptions!$C$73*(Assumptions!Y$99&gt;=Project_Register!$U$23))</f>
        <v>0</v>
      </c>
      <c r="Z303" s="60" t="n">
        <f aca="false">Z300*(Assumptions!$C$71*(Assumptions!Z$99&gt;=Project_Register!$T$23)+Assumptions!$C$72*(Assumptions!Z$99&gt;=Project_Register!$V$23)+Assumptions!$C$73*(Assumptions!Z$99&gt;=Project_Register!$U$23))</f>
        <v>61200</v>
      </c>
      <c r="AA303" s="60" t="n">
        <f aca="false">AA300*(Assumptions!$C$71*(Assumptions!AA$99&gt;=Project_Register!$T$23)+Assumptions!$C$72*(Assumptions!AA$99&gt;=Project_Register!$V$23)+Assumptions!$C$73*(Assumptions!AA$99&gt;=Project_Register!$U$23))</f>
        <v>61200</v>
      </c>
      <c r="AB303" s="60" t="n">
        <f aca="false">AB300*(Assumptions!$C$71*(Assumptions!AB$99&gt;=Project_Register!$T$23)+Assumptions!$C$72*(Assumptions!AB$99&gt;=Project_Register!$V$23)+Assumptions!$C$73*(Assumptions!AB$99&gt;=Project_Register!$U$23))</f>
        <v>142800</v>
      </c>
    </row>
    <row r="304" customFormat="false" ht="15" hidden="false" customHeight="false" outlineLevel="0" collapsed="false">
      <c r="A304" s="28" t="s">
        <v>925</v>
      </c>
      <c r="B304" s="58" t="s">
        <v>926</v>
      </c>
      <c r="C304" s="59" t="n">
        <f aca="false">SUM(E304:P304)</f>
        <v>0</v>
      </c>
      <c r="D304" s="59" t="n">
        <f aca="false">SUM(Q304:AB304)</f>
        <v>142800</v>
      </c>
      <c r="E304" s="60" t="n">
        <f aca="false">IF(E$5="A",0,MAX(0,E303-Project_Register!$R$23))</f>
        <v>0</v>
      </c>
      <c r="F304" s="71" t="n">
        <f aca="false">IF(F$5="A",0,MAX(0,F303-E305))</f>
        <v>0</v>
      </c>
      <c r="G304" s="71" t="n">
        <f aca="false">IF(G$5="A",0,MAX(0,G303-F305))</f>
        <v>0</v>
      </c>
      <c r="H304" s="71" t="n">
        <f aca="false">IF(H$5="A",0,MAX(0,H303-G305))</f>
        <v>0</v>
      </c>
      <c r="I304" s="71" t="n">
        <f aca="false">IF(I$5="A",0,MAX(0,I303-H305))</f>
        <v>0</v>
      </c>
      <c r="J304" s="71" t="n">
        <f aca="false">IF(J$5="A",0,MAX(0,J303-I305))</f>
        <v>0</v>
      </c>
      <c r="K304" s="71" t="n">
        <f aca="false">IF(K$5="A",0,MAX(0,K303-J305))</f>
        <v>0</v>
      </c>
      <c r="L304" s="71" t="n">
        <f aca="false">IF(L$5="A",0,MAX(0,L303-K305))</f>
        <v>0</v>
      </c>
      <c r="M304" s="71" t="n">
        <f aca="false">IF(M$5="A",0,MAX(0,M303-L305))</f>
        <v>0</v>
      </c>
      <c r="N304" s="71" t="n">
        <f aca="false">IF(N$5="A",0,MAX(0,N303-M305))</f>
        <v>0</v>
      </c>
      <c r="O304" s="71" t="n">
        <f aca="false">IF(O$5="A",0,MAX(0,O303-N305))</f>
        <v>0</v>
      </c>
      <c r="P304" s="71" t="n">
        <f aca="false">IF(P$5="A",0,MAX(0,P303-O305))</f>
        <v>0</v>
      </c>
      <c r="Q304" s="71" t="n">
        <f aca="false">IF(Q$5="A",0,MAX(0,Q303-P305))</f>
        <v>0</v>
      </c>
      <c r="R304" s="71" t="n">
        <f aca="false">IF(R$5="A",0,MAX(0,R303-Q305))</f>
        <v>0</v>
      </c>
      <c r="S304" s="71" t="n">
        <f aca="false">IF(S$5="A",0,MAX(0,S303-R305))</f>
        <v>0</v>
      </c>
      <c r="T304" s="71" t="n">
        <f aca="false">IF(T$5="A",0,MAX(0,T303-S305))</f>
        <v>0</v>
      </c>
      <c r="U304" s="71" t="n">
        <f aca="false">IF(U$5="A",0,MAX(0,U303-T305))</f>
        <v>0</v>
      </c>
      <c r="V304" s="71" t="n">
        <f aca="false">IF(V$5="A",0,MAX(0,V303-U305))</f>
        <v>0</v>
      </c>
      <c r="W304" s="71" t="n">
        <f aca="false">IF(W$5="A",0,MAX(0,W303-V305))</f>
        <v>0</v>
      </c>
      <c r="X304" s="71" t="n">
        <f aca="false">IF(X$5="A",0,MAX(0,X303-W305))</f>
        <v>0</v>
      </c>
      <c r="Y304" s="71" t="n">
        <f aca="false">IF(Y$5="A",0,MAX(0,Y303-X305))</f>
        <v>0</v>
      </c>
      <c r="Z304" s="71" t="n">
        <f aca="false">IF(Z$5="A",0,MAX(0,Z303-Y305))</f>
        <v>61200</v>
      </c>
      <c r="AA304" s="71" t="n">
        <f aca="false">IF(AA$5="A",0,MAX(0,AA303-Z305))</f>
        <v>0</v>
      </c>
      <c r="AB304" s="71" t="n">
        <f aca="false">IF(AB$5="A",0,MAX(0,AB303-AA305))</f>
        <v>81600</v>
      </c>
    </row>
    <row r="305" customFormat="false" ht="15" hidden="false" customHeight="false" outlineLevel="0" collapsed="false">
      <c r="A305" s="28" t="s">
        <v>927</v>
      </c>
      <c r="B305" s="58"/>
      <c r="C305" s="59" t="n">
        <f aca="false">P305</f>
        <v>0</v>
      </c>
      <c r="D305" s="59" t="n">
        <f aca="false">AB305</f>
        <v>142800</v>
      </c>
      <c r="E305" s="60" t="n">
        <f aca="false">Project_Register!$R$23+E304</f>
        <v>0</v>
      </c>
      <c r="F305" s="71" t="n">
        <f aca="false">E305+F304</f>
        <v>0</v>
      </c>
      <c r="G305" s="71" t="n">
        <f aca="false">F305+G304</f>
        <v>0</v>
      </c>
      <c r="H305" s="71" t="n">
        <f aca="false">G305+H304</f>
        <v>0</v>
      </c>
      <c r="I305" s="71" t="n">
        <f aca="false">H305+I304</f>
        <v>0</v>
      </c>
      <c r="J305" s="71" t="n">
        <f aca="false">I305+J304</f>
        <v>0</v>
      </c>
      <c r="K305" s="71" t="n">
        <f aca="false">J305+K304</f>
        <v>0</v>
      </c>
      <c r="L305" s="71" t="n">
        <f aca="false">K305+L304</f>
        <v>0</v>
      </c>
      <c r="M305" s="71" t="n">
        <f aca="false">L305+M304</f>
        <v>0</v>
      </c>
      <c r="N305" s="71" t="n">
        <f aca="false">M305+N304</f>
        <v>0</v>
      </c>
      <c r="O305" s="71" t="n">
        <f aca="false">N305+O304</f>
        <v>0</v>
      </c>
      <c r="P305" s="71" t="n">
        <f aca="false">O305+P304</f>
        <v>0</v>
      </c>
      <c r="Q305" s="71" t="n">
        <f aca="false">P305+Q304</f>
        <v>0</v>
      </c>
      <c r="R305" s="71" t="n">
        <f aca="false">Q305+R304</f>
        <v>0</v>
      </c>
      <c r="S305" s="71" t="n">
        <f aca="false">R305+S304</f>
        <v>0</v>
      </c>
      <c r="T305" s="71" t="n">
        <f aca="false">S305+T304</f>
        <v>0</v>
      </c>
      <c r="U305" s="71" t="n">
        <f aca="false">T305+U304</f>
        <v>0</v>
      </c>
      <c r="V305" s="71" t="n">
        <f aca="false">U305+V304</f>
        <v>0</v>
      </c>
      <c r="W305" s="71" t="n">
        <f aca="false">V305+W304</f>
        <v>0</v>
      </c>
      <c r="X305" s="71" t="n">
        <f aca="false">W305+X304</f>
        <v>0</v>
      </c>
      <c r="Y305" s="71" t="n">
        <f aca="false">X305+Y304</f>
        <v>0</v>
      </c>
      <c r="Z305" s="71" t="n">
        <f aca="false">Y305+Z304</f>
        <v>61200</v>
      </c>
      <c r="AA305" s="71" t="n">
        <f aca="false">Z305+AA304</f>
        <v>61200</v>
      </c>
      <c r="AB305" s="71" t="n">
        <f aca="false">AA305+AB304</f>
        <v>142800</v>
      </c>
    </row>
    <row r="306" customFormat="false" ht="15" hidden="false" customHeight="false" outlineLevel="0" collapsed="false">
      <c r="A306" s="28" t="s">
        <v>928</v>
      </c>
      <c r="B306" s="58" t="s">
        <v>929</v>
      </c>
      <c r="C306" s="59" t="n">
        <f aca="false">P306</f>
        <v>0</v>
      </c>
      <c r="D306" s="59" t="n">
        <f aca="false">AB306</f>
        <v>-10608</v>
      </c>
      <c r="E306" s="71" t="n">
        <f aca="false">E301-E305</f>
        <v>0</v>
      </c>
      <c r="F306" s="71" t="n">
        <f aca="false">F301-F305</f>
        <v>0</v>
      </c>
      <c r="G306" s="71" t="n">
        <f aca="false">G301-G305</f>
        <v>0</v>
      </c>
      <c r="H306" s="71" t="n">
        <f aca="false">H301-H305</f>
        <v>0</v>
      </c>
      <c r="I306" s="71" t="n">
        <f aca="false">I301-I305</f>
        <v>0</v>
      </c>
      <c r="J306" s="71" t="n">
        <f aca="false">J301-J305</f>
        <v>0</v>
      </c>
      <c r="K306" s="71" t="n">
        <f aca="false">K301-K305</f>
        <v>0</v>
      </c>
      <c r="L306" s="71" t="n">
        <f aca="false">L301-L305</f>
        <v>0</v>
      </c>
      <c r="M306" s="71" t="n">
        <f aca="false">M301-M305</f>
        <v>0</v>
      </c>
      <c r="N306" s="71" t="n">
        <f aca="false">N301-N305</f>
        <v>0</v>
      </c>
      <c r="O306" s="71" t="n">
        <f aca="false">O301-O305</f>
        <v>0</v>
      </c>
      <c r="P306" s="71" t="n">
        <f aca="false">P301-P305</f>
        <v>0</v>
      </c>
      <c r="Q306" s="71" t="n">
        <f aca="false">Q301-Q305</f>
        <v>0</v>
      </c>
      <c r="R306" s="71" t="n">
        <f aca="false">R301-R305</f>
        <v>0</v>
      </c>
      <c r="S306" s="71" t="n">
        <f aca="false">S301-S305</f>
        <v>0</v>
      </c>
      <c r="T306" s="71" t="n">
        <f aca="false">T301-T305</f>
        <v>0</v>
      </c>
      <c r="U306" s="71" t="n">
        <f aca="false">U301-U305</f>
        <v>0</v>
      </c>
      <c r="V306" s="71" t="n">
        <f aca="false">V301-V305</f>
        <v>0</v>
      </c>
      <c r="W306" s="71" t="n">
        <f aca="false">W301-W305</f>
        <v>0</v>
      </c>
      <c r="X306" s="71" t="n">
        <f aca="false">X301-X305</f>
        <v>0</v>
      </c>
      <c r="Y306" s="71" t="n">
        <f aca="false">Y301-Y305</f>
        <v>0</v>
      </c>
      <c r="Z306" s="71" t="n">
        <f aca="false">Z301-Z305</f>
        <v>-39984</v>
      </c>
      <c r="AA306" s="71" t="n">
        <f aca="false">AA301-AA305</f>
        <v>10608</v>
      </c>
      <c r="AB306" s="71" t="n">
        <f aca="false">AB301-AB305</f>
        <v>-10608</v>
      </c>
    </row>
    <row r="307" customFormat="false" ht="15" hidden="false" customHeight="false" outlineLevel="0" collapsed="false">
      <c r="A307" s="28" t="s">
        <v>930</v>
      </c>
      <c r="B307" s="58"/>
      <c r="C307" s="59" t="n">
        <f aca="false">P307</f>
        <v>204000</v>
      </c>
      <c r="D307" s="59" t="n">
        <f aca="false">AB307</f>
        <v>71808</v>
      </c>
      <c r="E307" s="71" t="n">
        <f aca="false">MAX(0,E300-E301)</f>
        <v>0</v>
      </c>
      <c r="F307" s="71" t="n">
        <f aca="false">MAX(0,F300-F301)</f>
        <v>0</v>
      </c>
      <c r="G307" s="71" t="n">
        <f aca="false">MAX(0,G300-G301)</f>
        <v>0</v>
      </c>
      <c r="H307" s="71" t="n">
        <f aca="false">MAX(0,H300-H301)</f>
        <v>0</v>
      </c>
      <c r="I307" s="71" t="n">
        <f aca="false">MAX(0,I300-I301)</f>
        <v>0</v>
      </c>
      <c r="J307" s="71" t="n">
        <f aca="false">MAX(0,J300-J301)</f>
        <v>0</v>
      </c>
      <c r="K307" s="71" t="n">
        <f aca="false">MAX(0,K300-K301)</f>
        <v>0</v>
      </c>
      <c r="L307" s="71" t="n">
        <f aca="false">MAX(0,L300-L301)</f>
        <v>0</v>
      </c>
      <c r="M307" s="71" t="n">
        <f aca="false">MAX(0,M300-M301)</f>
        <v>204000</v>
      </c>
      <c r="N307" s="71" t="n">
        <f aca="false">MAX(0,N300-N301)</f>
        <v>204000</v>
      </c>
      <c r="O307" s="71" t="n">
        <f aca="false">MAX(0,O300-O301)</f>
        <v>204000</v>
      </c>
      <c r="P307" s="71" t="n">
        <f aca="false">MAX(0,P300-P301)</f>
        <v>204000</v>
      </c>
      <c r="Q307" s="71" t="n">
        <f aca="false">MAX(0,Q300-Q301)</f>
        <v>204000</v>
      </c>
      <c r="R307" s="71" t="n">
        <f aca="false">MAX(0,R300-R301)</f>
        <v>204000</v>
      </c>
      <c r="S307" s="71" t="n">
        <f aca="false">MAX(0,S300-S301)</f>
        <v>204000</v>
      </c>
      <c r="T307" s="71" t="n">
        <f aca="false">MAX(0,T300-T301)</f>
        <v>204000</v>
      </c>
      <c r="U307" s="71" t="n">
        <f aca="false">MAX(0,U300-U301)</f>
        <v>204000</v>
      </c>
      <c r="V307" s="71" t="n">
        <f aca="false">MAX(0,V300-V301)</f>
        <v>204000</v>
      </c>
      <c r="W307" s="71" t="n">
        <f aca="false">MAX(0,W300-W301)</f>
        <v>204000</v>
      </c>
      <c r="X307" s="71" t="n">
        <f aca="false">MAX(0,X300-X301)</f>
        <v>204000</v>
      </c>
      <c r="Y307" s="71" t="n">
        <f aca="false">MAX(0,Y300-Y301)</f>
        <v>204000</v>
      </c>
      <c r="Z307" s="71" t="n">
        <f aca="false">MAX(0,Z300-Z301)</f>
        <v>182784</v>
      </c>
      <c r="AA307" s="71" t="n">
        <f aca="false">MAX(0,AA300-AA301)</f>
        <v>132192</v>
      </c>
      <c r="AB307" s="71" t="n">
        <f aca="false">MAX(0,AB300-AB301)</f>
        <v>71808</v>
      </c>
    </row>
    <row r="309" customFormat="false" ht="15" hidden="false" customHeight="false" outlineLevel="0" collapsed="false">
      <c r="A309" s="22" t="s">
        <v>956</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row>
    <row r="310" customFormat="false" ht="15" hidden="false" customHeight="false" outlineLevel="0" collapsed="false">
      <c r="A310" s="28" t="s">
        <v>474</v>
      </c>
      <c r="B310" s="58" t="s">
        <v>957</v>
      </c>
      <c r="C310" s="66" t="n">
        <f aca="false">SUM(E310:P310)</f>
        <v>9730.28194444445</v>
      </c>
      <c r="D310" s="66" t="n">
        <f aca="false">SUM(Q310:AB310)</f>
        <v>9068.95805555556</v>
      </c>
      <c r="E310" s="72" t="n">
        <f aca="false">E12+E30+E48+E66+E84+E102+E120+E140+E158+E177+E194+E211+E228+E245+E262+E279+E296</f>
        <v>635.3</v>
      </c>
      <c r="F310" s="72" t="n">
        <f aca="false">F12+F30+F48+F66+F84+F102+F120+F140+F158+F177+F194+F211+F228+F245+F262+F279+F296</f>
        <v>511.2</v>
      </c>
      <c r="G310" s="72" t="n">
        <f aca="false">G12+G30+G48+G66+G84+G102+G120+G140+G158+G177+G194+G211+G228+G245+G262+G279+G296</f>
        <v>549.2</v>
      </c>
      <c r="H310" s="72" t="n">
        <f aca="false">H12+H30+H48+H66+H84+H102+H120+H140+H158+H177+H194+H211+H228+H245+H262+H279+H296</f>
        <v>585.3</v>
      </c>
      <c r="I310" s="72" t="n">
        <f aca="false">I12+I30+I48+I66+I84+I102+I120+I140+I158+I177+I194+I211+I228+I245+I262+I279+I296</f>
        <v>819</v>
      </c>
      <c r="J310" s="72" t="n">
        <f aca="false">J12+J30+J48+J66+J84+J102+J120+J140+J158+J177+J194+J211+J228+J245+J262+J279+J296</f>
        <v>1085.9</v>
      </c>
      <c r="K310" s="72" t="n">
        <f aca="false">K12+K30+K48+K66+K84+K102+K120+K140+K158+K177+K194+K211+K228+K245+K262+K279+K296</f>
        <v>1158.7</v>
      </c>
      <c r="L310" s="72" t="n">
        <f aca="false">L12+L30+L48+L66+L84+L102+L120+L140+L158+L177+L194+L211+L228+L245+L262+L279+L296</f>
        <v>1203.6</v>
      </c>
      <c r="M310" s="72" t="n">
        <f aca="false">M12+M30+M48+M66+M84+M102+M120+M140+M158+M177+M194+M211+M228+M245+M262+M279+M296</f>
        <v>1141.21068265471</v>
      </c>
      <c r="N310" s="72" t="n">
        <f aca="false">N12+N30+N48+N66+N84+N102+N120+N140+N158+N177+N194+N211+N228+N245+N262+N279+N296</f>
        <v>909.23700253048</v>
      </c>
      <c r="O310" s="72" t="n">
        <f aca="false">O12+O30+O48+O66+O84+O102+O120+O140+O158+O177+O194+O211+O228+O245+O262+O279+O296</f>
        <v>675.87037037037</v>
      </c>
      <c r="P310" s="72" t="n">
        <f aca="false">P12+P30+P48+P66+P84+P102+P120+P140+P158+P177+P194+P211+P228+P245+P262+P279+P296</f>
        <v>455.763888888889</v>
      </c>
      <c r="Q310" s="72" t="n">
        <f aca="false">Q12+Q30+Q48+Q66+Q84+Q102+Q120+Q140+Q158+Q177+Q194+Q211+Q228+Q245+Q262+Q279+Q296</f>
        <v>460.438055555556</v>
      </c>
      <c r="R310" s="72" t="n">
        <f aca="false">R12+R30+R48+R66+R84+R102+R120+R140+R158+R177+R194+R211+R228+R245+R262+R279+R296</f>
        <v>716.35765468092</v>
      </c>
      <c r="S310" s="72" t="n">
        <f aca="false">S12+S30+S48+S66+S84+S102+S120+S140+S158+S177+S194+S211+S228+S245+S262+S279+S296</f>
        <v>877.515978835979</v>
      </c>
      <c r="T310" s="72" t="n">
        <f aca="false">T12+T30+T48+T66+T84+T102+T120+T140+T158+T177+T194+T211+T228+T245+T262+T279+T296</f>
        <v>994.720306662348</v>
      </c>
      <c r="U310" s="72" t="n">
        <f aca="false">U12+U30+U48+U66+U84+U102+U120+U140+U158+U177+U194+U211+U228+U245+U262+U279+U296</f>
        <v>976.646934456322</v>
      </c>
      <c r="V310" s="72" t="n">
        <f aca="false">V12+V30+V48+V66+V84+V102+V120+V140+V158+V177+V194+V211+V228+V245+V262+V279+V296</f>
        <v>851.073639995681</v>
      </c>
      <c r="W310" s="72" t="n">
        <f aca="false">W12+W30+W48+W66+W84+W102+W120+W140+W158+W177+W194+W211+W228+W245+W262+W279+W296</f>
        <v>890.884867724868</v>
      </c>
      <c r="X310" s="72" t="n">
        <f aca="false">X12+X30+X48+X66+X84+X102+X120+X140+X158+X177+X194+X211+X228+X245+X262+X279+X296</f>
        <v>767.640617643883</v>
      </c>
      <c r="Y310" s="72" t="n">
        <f aca="false">Y12+Y30+Y48+Y66+Y84+Y102+Y120+Y140+Y158+Y177+Y194+Y211+Y228+Y245+Y262+Y279+Y296</f>
        <v>578.68</v>
      </c>
      <c r="Z310" s="72" t="n">
        <f aca="false">Z12+Z30+Z48+Z66+Z84+Z102+Z120+Z140+Z158+Z177+Z194+Z211+Z228+Z245+Z262+Z279+Z296</f>
        <v>688.16</v>
      </c>
      <c r="AA310" s="72" t="n">
        <f aca="false">AA12+AA30+AA48+AA66+AA84+AA102+AA120+AA140+AA158+AA177+AA194+AA211+AA228+AA245+AA262+AA279+AA296</f>
        <v>688.16</v>
      </c>
      <c r="AB310" s="72" t="n">
        <f aca="false">AB12+AB30+AB48+AB66+AB84+AB102+AB120+AB140+AB158+AB177+AB194+AB211+AB228+AB245+AB262+AB279+AB296</f>
        <v>578.68</v>
      </c>
    </row>
    <row r="311" customFormat="false" ht="15" hidden="false" customHeight="false" outlineLevel="0" collapsed="false">
      <c r="A311" s="28" t="s">
        <v>941</v>
      </c>
      <c r="B311" s="58"/>
      <c r="C311" s="59" t="n">
        <f aca="false">SUM(E311:P311)</f>
        <v>44000</v>
      </c>
      <c r="D311" s="59" t="n">
        <f aca="false">SUM(Q311:AB311)</f>
        <v>0</v>
      </c>
      <c r="E311" s="71" t="n">
        <f aca="false">E131+E169</f>
        <v>0</v>
      </c>
      <c r="F311" s="71" t="n">
        <f aca="false">F131+F169</f>
        <v>0</v>
      </c>
      <c r="G311" s="71" t="n">
        <f aca="false">G131+G169</f>
        <v>0</v>
      </c>
      <c r="H311" s="71" t="n">
        <f aca="false">H131+H169</f>
        <v>0</v>
      </c>
      <c r="I311" s="71" t="n">
        <f aca="false">I131+I169</f>
        <v>0</v>
      </c>
      <c r="J311" s="71" t="n">
        <f aca="false">J131+J169</f>
        <v>0</v>
      </c>
      <c r="K311" s="71" t="n">
        <f aca="false">K131+K169</f>
        <v>4200</v>
      </c>
      <c r="L311" s="71" t="n">
        <f aca="false">L131+L169</f>
        <v>5600</v>
      </c>
      <c r="M311" s="71" t="n">
        <f aca="false">M131+M169</f>
        <v>6709.72222222222</v>
      </c>
      <c r="N311" s="71" t="n">
        <f aca="false">N131+N169</f>
        <v>11868.0555555556</v>
      </c>
      <c r="O311" s="71" t="n">
        <f aca="false">O131+O169</f>
        <v>10934.7222222222</v>
      </c>
      <c r="P311" s="71" t="n">
        <f aca="false">P131+P169</f>
        <v>4687.5</v>
      </c>
      <c r="Q311" s="71" t="n">
        <f aca="false">Q131+Q169</f>
        <v>0</v>
      </c>
      <c r="R311" s="71" t="n">
        <f aca="false">R131+R169</f>
        <v>0</v>
      </c>
      <c r="S311" s="71" t="n">
        <f aca="false">S131+S169</f>
        <v>0</v>
      </c>
      <c r="T311" s="71" t="n">
        <f aca="false">T131+T169</f>
        <v>0</v>
      </c>
      <c r="U311" s="71" t="n">
        <f aca="false">U131+U169</f>
        <v>0</v>
      </c>
      <c r="V311" s="71" t="n">
        <f aca="false">V131+V169</f>
        <v>0</v>
      </c>
      <c r="W311" s="71" t="n">
        <f aca="false">W131+W169</f>
        <v>0</v>
      </c>
      <c r="X311" s="71" t="n">
        <f aca="false">X131+X169</f>
        <v>0</v>
      </c>
      <c r="Y311" s="71" t="n">
        <f aca="false">Y131+Y169</f>
        <v>0</v>
      </c>
      <c r="Z311" s="71" t="n">
        <f aca="false">Z131+Z169</f>
        <v>0</v>
      </c>
      <c r="AA311" s="71" t="n">
        <f aca="false">AA131+AA169</f>
        <v>0</v>
      </c>
      <c r="AB311" s="71" t="n">
        <f aca="false">AB131+AB169</f>
        <v>0</v>
      </c>
    </row>
    <row r="312" customFormat="false" ht="15" hidden="false" customHeight="false" outlineLevel="0" collapsed="false">
      <c r="A312" s="68" t="s">
        <v>958</v>
      </c>
      <c r="B312" s="69"/>
      <c r="C312" s="70" t="n">
        <f aca="false">SUM(E312:P312)</f>
        <v>926786.479342986</v>
      </c>
      <c r="D312" s="70" t="n">
        <f aca="false">SUM(Q312:AB312)</f>
        <v>953538.120482793</v>
      </c>
      <c r="E312" s="74" t="n">
        <f aca="false">E18/1+E36/FX!E9+E54/FX!E9+E72/FX!E11+E90/FX!E9+E108/1+E126/FX!E9+E146/FX!E9+E164/FX!E11+E183/FX!E9+E200/FX!E11+E217/1+E234/1+E251/1+E268/1+E285/1+E302/1</f>
        <v>65395.6810282954</v>
      </c>
      <c r="F312" s="74" t="n">
        <f aca="false">F18/1+F36/FX!F9+F54/FX!F9+F72/FX!F11+F90/FX!F9+F108/1+F126/FX!F9+F146/FX!F9+F164/FX!F11+F183/FX!F9+F200/FX!F11+F217/1+F234/1+F251/1+F268/1+F285/1+F302/1</f>
        <v>48189.0689359823</v>
      </c>
      <c r="G312" s="74" t="n">
        <f aca="false">G18/1+G36/FX!G9+G54/FX!G9+G72/FX!G11+G90/FX!G9+G108/1+G126/FX!G9+G146/FX!G9+G164/FX!G11+G183/FX!G9+G200/FX!G11+G217/1+G234/1+G251/1+G268/1+G285/1+G302/1</f>
        <v>52798.0914178011</v>
      </c>
      <c r="H312" s="74" t="n">
        <f aca="false">H18/1+H36/FX!H9+H54/FX!H9+H72/FX!H11+H90/FX!H9+H108/1+H126/FX!H9+H146/FX!H9+H164/FX!H11+H183/FX!H9+H200/FX!H11+H217/1+H234/1+H251/1+H268/1+H285/1+H302/1</f>
        <v>55499.693047527</v>
      </c>
      <c r="I312" s="74" t="n">
        <f aca="false">I18/1+I36/FX!I9+I54/FX!I9+I72/FX!I11+I90/FX!I9+I108/1+I126/FX!I9+I146/FX!I9+I164/FX!I11+I183/FX!I9+I200/FX!I11+I217/1+I234/1+I251/1+I268/1+I285/1+I302/1</f>
        <v>72634.8355769181</v>
      </c>
      <c r="J312" s="74" t="n">
        <f aca="false">J18/1+J36/FX!J9+J54/FX!J9+J72/FX!J11+J90/FX!J9+J108/1+J126/FX!J9+J146/FX!J9+J164/FX!J11+J183/FX!J9+J200/FX!J11+J217/1+J234/1+J251/1+J268/1+J285/1+J302/1</f>
        <v>92439.7807570272</v>
      </c>
      <c r="K312" s="74" t="n">
        <f aca="false">K18/1+K36/FX!K9+K54/FX!K9+K72/FX!K11+K90/FX!K9+K108/1+K126/FX!K9+K146/FX!K9+K164/FX!K11+K183/FX!K9+K200/FX!K11+K217/1+K234/1+K251/1+K268/1+K285/1+K302/1</f>
        <v>102218.25228808</v>
      </c>
      <c r="L312" s="74" t="n">
        <f aca="false">L18/1+L36/FX!L9+L54/FX!L9+L72/FX!L11+L90/FX!L9+L108/1+L126/FX!L9+L146/FX!L9+L164/FX!L11+L183/FX!L9+L200/FX!L11+L217/1+L234/1+L251/1+L268/1+L285/1+L302/1</f>
        <v>110529.650012757</v>
      </c>
      <c r="M312" s="74" t="n">
        <f aca="false">M18/1+M36/FX!M9+M54/FX!M9+M72/FX!M11+M90/FX!M9+M108/1+M126/FX!M9+M146/FX!M9+M164/FX!M11+M183/FX!M9+M200/FX!M11+M217/1+M234/1+M251/1+M268/1+M285/1+M302/1</f>
        <v>112632.340644591</v>
      </c>
      <c r="N312" s="74" t="n">
        <f aca="false">N18/1+N36/FX!N9+N54/FX!N9+N72/FX!N11+N90/FX!N9+N108/1+N126/FX!N9+N146/FX!N9+N164/FX!N11+N183/FX!N9+N200/FX!N11+N217/1+N234/1+N251/1+N268/1+N285/1+N302/1</f>
        <v>95895.3276070448</v>
      </c>
      <c r="O312" s="74" t="n">
        <f aca="false">O18/1+O36/FX!O9+O54/FX!O9+O72/FX!O11+O90/FX!O9+O108/1+O126/FX!O9+O146/FX!O9+O164/FX!O11+O183/FX!O9+O200/FX!O11+O217/1+O234/1+O251/1+O268/1+O285/1+O302/1</f>
        <v>72764.8417499574</v>
      </c>
      <c r="P312" s="74" t="n">
        <f aca="false">P18/1+P36/FX!P9+P54/FX!P9+P72/FX!P11+P90/FX!P9+P108/1+P126/FX!P9+P146/FX!P9+P164/FX!P11+P183/FX!P9+P200/FX!P11+P217/1+P234/1+P251/1+P268/1+P285/1+P302/1</f>
        <v>45788.9162770048</v>
      </c>
      <c r="Q312" s="74" t="n">
        <f aca="false">Q18/1+Q36/FX!Q9+Q54/FX!Q9+Q72/FX!Q11+Q90/FX!Q9+Q108/1+Q126/FX!Q9+Q146/FX!Q9+Q164/FX!Q11+Q183/FX!Q9+Q200/FX!Q11+Q217/1+Q234/1+Q251/1+Q268/1+Q285/1+Q302/1</f>
        <v>45480.786787909</v>
      </c>
      <c r="R312" s="74" t="n">
        <f aca="false">R18/1+R36/FX!R9+R54/FX!R9+R72/FX!R11+R90/FX!R9+R108/1+R126/FX!R9+R146/FX!R9+R164/FX!R11+R183/FX!R9+R200/FX!R11+R217/1+R234/1+R251/1+R268/1+R285/1+R302/1</f>
        <v>73409.4199568794</v>
      </c>
      <c r="S312" s="74" t="n">
        <f aca="false">S18/1+S36/FX!S9+S54/FX!S9+S72/FX!S11+S90/FX!S9+S108/1+S126/FX!S9+S146/FX!S9+S164/FX!S11+S183/FX!S9+S200/FX!S11+S217/1+S234/1+S251/1+S268/1+S285/1+S302/1</f>
        <v>92024.0322904626</v>
      </c>
      <c r="T312" s="74" t="n">
        <f aca="false">T18/1+T36/FX!T9+T54/FX!T9+T72/FX!T11+T90/FX!T9+T108/1+T126/FX!T9+T146/FX!T9+T164/FX!T11+T183/FX!T9+T200/FX!T11+T217/1+T234/1+T251/1+T268/1+T285/1+T302/1</f>
        <v>105942.431395032</v>
      </c>
      <c r="U312" s="74" t="n">
        <f aca="false">U18/1+U36/FX!U9+U54/FX!U9+U72/FX!U11+U90/FX!U9+U108/1+U126/FX!U9+U146/FX!U9+U164/FX!U11+U183/FX!U9+U200/FX!U11+U217/1+U234/1+U251/1+U268/1+U285/1+U302/1</f>
        <v>104931.701220352</v>
      </c>
      <c r="V312" s="74" t="n">
        <f aca="false">V18/1+V36/FX!V9+V54/FX!V9+V72/FX!V11+V90/FX!V9+V108/1+V126/FX!V9+V146/FX!V9+V164/FX!V11+V183/FX!V9+V200/FX!V11+V217/1+V234/1+V251/1+V268/1+V285/1+V302/1</f>
        <v>91547.0012722563</v>
      </c>
      <c r="W312" s="74" t="n">
        <f aca="false">W18/1+W36/FX!W9+W54/FX!W9+W72/FX!W11+W90/FX!W9+W108/1+W126/FX!W9+W146/FX!W9+W164/FX!W11+W183/FX!W9+W200/FX!W11+W217/1+W234/1+W251/1+W268/1+W285/1+W302/1</f>
        <v>94950.0125390796</v>
      </c>
      <c r="X312" s="74" t="n">
        <f aca="false">X18/1+X36/FX!X9+X54/FX!X9+X72/FX!X11+X90/FX!X9+X108/1+X126/FX!X9+X146/FX!X9+X164/FX!X11+X183/FX!X9+X200/FX!X11+X217/1+X234/1+X251/1+X268/1+X285/1+X302/1</f>
        <v>80868.7350208222</v>
      </c>
      <c r="Y312" s="74" t="n">
        <f aca="false">Y18/1+Y36/FX!Y9+Y54/FX!Y9+Y72/FX!Y11+Y90/FX!Y9+Y108/1+Y126/FX!Y9+Y146/FX!Y9+Y164/FX!Y11+Y183/FX!Y9+Y200/FX!Y11+Y217/1+Y234/1+Y251/1+Y268/1+Y285/1+Y302/1</f>
        <v>60384</v>
      </c>
      <c r="Z312" s="74" t="n">
        <f aca="false">Z18/1+Z36/FX!Z9+Z54/FX!Z9+Z72/FX!Z11+Z90/FX!Z9+Z108/1+Z126/FX!Z9+Z146/FX!Z9+Z164/FX!Z11+Z183/FX!Z9+Z200/FX!Z11+Z217/1+Z234/1+Z251/1+Z268/1+Z285/1+Z302/1</f>
        <v>71808</v>
      </c>
      <c r="AA312" s="74" t="n">
        <f aca="false">AA18/1+AA36/FX!AA9+AA54/FX!AA9+AA72/FX!AA11+AA90/FX!AA9+AA108/1+AA126/FX!AA9+AA146/FX!AA9+AA164/FX!AA11+AA183/FX!AA9+AA200/FX!AA11+AA217/1+AA234/1+AA251/1+AA268/1+AA285/1+AA302/1</f>
        <v>71808</v>
      </c>
      <c r="AB312" s="74" t="n">
        <f aca="false">AB18/1+AB36/FX!AB9+AB54/FX!AB9+AB72/FX!AB11+AB90/FX!AB9+AB108/1+AB126/FX!AB9+AB146/FX!AB9+AB164/FX!AB11+AB183/FX!AB9+AB200/FX!AB11+AB217/1+AB234/1+AB251/1+AB268/1+AB285/1+AB302/1</f>
        <v>60384</v>
      </c>
    </row>
    <row r="313" customFormat="false" ht="15" hidden="false" customHeight="false" outlineLevel="0" collapsed="false">
      <c r="A313" s="28" t="s">
        <v>959</v>
      </c>
      <c r="B313" s="58"/>
      <c r="C313" s="59" t="n">
        <f aca="false">P313</f>
        <v>0</v>
      </c>
      <c r="D313" s="59" t="n">
        <f aca="false">AB313</f>
        <v>0</v>
      </c>
      <c r="E313" s="60" t="n">
        <f aca="false">E23/1+E41/FX!E9+E59/FX!E9+E77/FX!E11+E95/FX!E9+E113/1+E133/FX!E9+E151/FX!E9+E171/FX!E11</f>
        <v>74720.8136047849</v>
      </c>
      <c r="F313" s="60" t="n">
        <f aca="false">F23/1+F41/FX!F9+F59/FX!F9+F77/FX!F11+F95/FX!F9+F113/1+F133/FX!F9+F151/FX!F9+F171/FX!F11</f>
        <v>203419.259759351</v>
      </c>
      <c r="G313" s="60" t="n">
        <f aca="false">G23/1+G41/FX!G9+G59/FX!G9+G77/FX!G11+G95/FX!G9+G113/1+G133/FX!G9+G151/FX!G9+G171/FX!G11</f>
        <v>319901.795982924</v>
      </c>
      <c r="H313" s="60" t="n">
        <f aca="false">H23/1+H41/FX!H9+H59/FX!H9+H77/FX!H11+H95/FX!H9+H113/1+H133/FX!H9+H151/FX!H9+H171/FX!H11</f>
        <v>266042.810262327</v>
      </c>
      <c r="I313" s="60" t="n">
        <f aca="false">I23/1+I41/FX!I9+I59/FX!I9+I77/FX!I11+I95/FX!I9+I113/1+I133/FX!I9+I151/FX!I9+I171/FX!I11</f>
        <v>302799.592950897</v>
      </c>
      <c r="J313" s="60" t="n">
        <f aca="false">J23/1+J41/FX!J9+J59/FX!J9+J77/FX!J11+J95/FX!J9+J113/1+J133/FX!J9+J151/FX!J9+J171/FX!J11</f>
        <v>276919.889899008</v>
      </c>
      <c r="K313" s="60" t="n">
        <f aca="false">K23/1+K41/FX!K9+K59/FX!K9+K77/FX!K11+K95/FX!K9+K113/1+K133/FX!K9+K151/FX!K9+K171/FX!K11</f>
        <v>275084.07356288</v>
      </c>
      <c r="L313" s="60" t="n">
        <f aca="false">L23/1+L41/FX!L9+L59/FX!L9+L77/FX!L11+L95/FX!L9+L113/1+L133/FX!L9+L151/FX!L9+L171/FX!L11</f>
        <v>164561.483279342</v>
      </c>
      <c r="M313" s="60" t="n">
        <f aca="false">M23/1+M41/FX!M9+M59/FX!M9+M77/FX!M11+M95/FX!M9+M113/1+M133/FX!M9+M151/FX!M9+M171/FX!M11</f>
        <v>155219.219093182</v>
      </c>
      <c r="N313" s="60" t="n">
        <f aca="false">N23/1+N41/FX!N9+N59/FX!N9+N77/FX!N11+N95/FX!N9+N113/1+N133/FX!N9+N151/FX!N9+N171/FX!N11</f>
        <v>66980.1414861372</v>
      </c>
      <c r="O313" s="60" t="n">
        <f aca="false">O23/1+O41/FX!O9+O59/FX!O9+O77/FX!O11+O95/FX!O9+O113/1+O133/FX!O9+O151/FX!O9+O171/FX!O11</f>
        <v>16169.3687478441</v>
      </c>
      <c r="P313" s="60" t="n">
        <f aca="false">P23/1+P41/FX!P9+P59/FX!P9+P77/FX!P11+P95/FX!P9+P113/1+P133/FX!P9+P151/FX!P9+P171/FX!P11</f>
        <v>0</v>
      </c>
      <c r="Q313" s="60" t="n">
        <f aca="false">Q23/1+Q41/FX!Q9+Q59/FX!Q9+Q77/FX!Q11+Q95/FX!Q9+Q113/1+Q133/FX!Q9+Q151/FX!Q9+Q171/FX!Q11</f>
        <v>0</v>
      </c>
      <c r="R313" s="60" t="n">
        <f aca="false">R23/1+R41/FX!R9+R59/FX!R9+R77/FX!R11+R95/FX!R9+R113/1+R133/FX!R9+R151/FX!R9+R171/FX!R11</f>
        <v>0</v>
      </c>
      <c r="S313" s="60" t="n">
        <f aca="false">S23/1+S41/FX!S9+S59/FX!S9+S77/FX!S11+S95/FX!S9+S113/1+S133/FX!S9+S151/FX!S9+S171/FX!S11</f>
        <v>0</v>
      </c>
      <c r="T313" s="60" t="n">
        <f aca="false">T23/1+T41/FX!T9+T59/FX!T9+T77/FX!T11+T95/FX!T9+T113/1+T133/FX!T9+T151/FX!T9+T171/FX!T11</f>
        <v>0</v>
      </c>
      <c r="U313" s="60" t="n">
        <f aca="false">U23/1+U41/FX!U9+U59/FX!U9+U77/FX!U11+U95/FX!U9+U113/1+U133/FX!U9+U151/FX!U9+U171/FX!U11</f>
        <v>0</v>
      </c>
      <c r="V313" s="60" t="n">
        <f aca="false">V23/1+V41/FX!V9+V59/FX!V9+V77/FX!V11+V95/FX!V9+V113/1+V133/FX!V9+V151/FX!V9+V171/FX!V11</f>
        <v>0</v>
      </c>
      <c r="W313" s="60" t="n">
        <f aca="false">W23/1+W41/FX!W9+W59/FX!W9+W77/FX!W11+W95/FX!W9+W113/1+W133/FX!W9+W151/FX!W9+W171/FX!W11</f>
        <v>0</v>
      </c>
      <c r="X313" s="60" t="n">
        <f aca="false">X23/1+X41/FX!X9+X59/FX!X9+X77/FX!X11+X95/FX!X9+X113/1+X133/FX!X9+X151/FX!X9+X171/FX!X11</f>
        <v>0</v>
      </c>
      <c r="Y313" s="60" t="n">
        <f aca="false">Y23/1+Y41/FX!Y9+Y59/FX!Y9+Y77/FX!Y11+Y95/FX!Y9+Y113/1+Y133/FX!Y9+Y151/FX!Y9+Y171/FX!Y11</f>
        <v>0</v>
      </c>
      <c r="Z313" s="60" t="n">
        <f aca="false">Z23/1+Z41/FX!Z9+Z59/FX!Z9+Z77/FX!Z11+Z95/FX!Z9+Z113/1+Z133/FX!Z9+Z151/FX!Z9+Z171/FX!Z11</f>
        <v>0</v>
      </c>
      <c r="AA313" s="60" t="n">
        <f aca="false">AA23/1+AA41/FX!AA9+AA59/FX!AA9+AA77/FX!AA11+AA95/FX!AA9+AA113/1+AA133/FX!AA9+AA151/FX!AA9+AA171/FX!AA11</f>
        <v>0</v>
      </c>
      <c r="AB313" s="60" t="n">
        <f aca="false">AB23/1+AB41/FX!AB9+AB59/FX!AB9+AB77/FX!AB11+AB95/FX!AB9+AB113/1+AB133/FX!AB9+AB151/FX!AB9+AB171/FX!AB11</f>
        <v>0</v>
      </c>
    </row>
    <row r="314" customFormat="false" ht="15" hidden="false" customHeight="false" outlineLevel="0" collapsed="false">
      <c r="A314" s="28" t="s">
        <v>960</v>
      </c>
      <c r="B314" s="58"/>
      <c r="C314" s="59" t="n">
        <f aca="false">P314</f>
        <v>1025346.12048279</v>
      </c>
      <c r="D314" s="59" t="n">
        <f aca="false">AB314</f>
        <v>71808</v>
      </c>
      <c r="E314" s="60" t="n">
        <f aca="false">E188/FX!E9+E205/FX!E11+E222/1+E239/1+E256/1+E273/1+E290/1+E307/1</f>
        <v>0</v>
      </c>
      <c r="F314" s="60" t="n">
        <f aca="false">F188/FX!F9+F205/FX!F11+F222/1+F239/1+F256/1+F273/1+F290/1+F307/1</f>
        <v>0</v>
      </c>
      <c r="G314" s="60" t="n">
        <f aca="false">G188/FX!G9+G205/FX!G11+G222/1+G239/1+G256/1+G273/1+G290/1+G307/1</f>
        <v>0</v>
      </c>
      <c r="H314" s="60" t="n">
        <f aca="false">H188/FX!H9+H205/FX!H11+H222/1+H239/1+H256/1+H273/1+H290/1+H307/1</f>
        <v>0</v>
      </c>
      <c r="I314" s="60" t="n">
        <f aca="false">I188/FX!I9+I205/FX!I11+I222/1+I239/1+I256/1+I273/1+I290/1+I307/1</f>
        <v>0</v>
      </c>
      <c r="J314" s="60" t="n">
        <f aca="false">J188/FX!J9+J205/FX!J11+J222/1+J239/1+J256/1+J273/1+J290/1+J307/1</f>
        <v>0</v>
      </c>
      <c r="K314" s="60" t="n">
        <f aca="false">K188/FX!K9+K205/FX!K11+K222/1+K239/1+K256/1+K273/1+K290/1+K307/1</f>
        <v>0</v>
      </c>
      <c r="L314" s="60" t="n">
        <f aca="false">L188/FX!L9+L205/FX!L11+L222/1+L239/1+L256/1+L273/1+L290/1+L307/1</f>
        <v>0</v>
      </c>
      <c r="M314" s="60" t="n">
        <f aca="false">M188/FX!M9+M205/FX!M11+M222/1+M239/1+M256/1+M273/1+M290/1+M307/1</f>
        <v>1084575.98702362</v>
      </c>
      <c r="N314" s="60" t="n">
        <f aca="false">N188/FX!N9+N205/FX!N11+N222/1+N239/1+N256/1+N273/1+N290/1+N307/1</f>
        <v>1076919.73702362</v>
      </c>
      <c r="O314" s="60" t="n">
        <f aca="false">O188/FX!O9+O205/FX!O11+O222/1+O239/1+O256/1+O273/1+O290/1+O307/1</f>
        <v>1054965.66801195</v>
      </c>
      <c r="P314" s="60" t="n">
        <f aca="false">P188/FX!P9+P205/FX!P11+P222/1+P239/1+P256/1+P273/1+P290/1+P307/1</f>
        <v>1025346.12048279</v>
      </c>
      <c r="Q314" s="60" t="n">
        <f aca="false">Q188/FX!Q9+Q205/FX!Q11+Q222/1+Q239/1+Q256/1+Q273/1+Q290/1+Q307/1</f>
        <v>979865.333694884</v>
      </c>
      <c r="R314" s="60" t="n">
        <f aca="false">R188/FX!R9+R205/FX!R11+R222/1+R239/1+R256/1+R273/1+R290/1+R307/1</f>
        <v>906455.913738004</v>
      </c>
      <c r="S314" s="60" t="n">
        <f aca="false">S188/FX!S9+S205/FX!S11+S222/1+S239/1+S256/1+S273/1+S290/1+S307/1</f>
        <v>814431.881447542</v>
      </c>
      <c r="T314" s="60" t="n">
        <f aca="false">T188/FX!T9+T205/FX!T11+T222/1+T239/1+T256/1+T273/1+T290/1+T307/1</f>
        <v>708489.45005251</v>
      </c>
      <c r="U314" s="60" t="n">
        <f aca="false">U188/FX!U9+U205/FX!U11+U222/1+U239/1+U256/1+U273/1+U290/1+U307/1</f>
        <v>603557.748832158</v>
      </c>
      <c r="V314" s="60" t="n">
        <f aca="false">V188/FX!V9+V205/FX!V11+V222/1+V239/1+V256/1+V273/1+V290/1+V307/1</f>
        <v>512010.747559902</v>
      </c>
      <c r="W314" s="60" t="n">
        <f aca="false">W188/FX!W9+W205/FX!W11+W222/1+W239/1+W256/1+W273/1+W290/1+W307/1</f>
        <v>417060.735020822</v>
      </c>
      <c r="X314" s="60" t="n">
        <f aca="false">X188/FX!X9+X205/FX!X11+X222/1+X239/1+X256/1+X273/1+X290/1+X307/1</f>
        <v>336192</v>
      </c>
      <c r="Y314" s="60" t="n">
        <f aca="false">Y188/FX!Y9+Y205/FX!Y11+Y222/1+Y239/1+Y256/1+Y273/1+Y290/1+Y307/1</f>
        <v>275808</v>
      </c>
      <c r="Z314" s="60" t="n">
        <f aca="false">Z188/FX!Z9+Z205/FX!Z11+Z222/1+Z239/1+Z256/1+Z273/1+Z290/1+Z307/1</f>
        <v>204000</v>
      </c>
      <c r="AA314" s="60" t="n">
        <f aca="false">AA188/FX!AA9+AA205/FX!AA11+AA222/1+AA239/1+AA256/1+AA273/1+AA290/1+AA307/1</f>
        <v>132192</v>
      </c>
      <c r="AB314" s="60" t="n">
        <f aca="false">AB188/FX!AB9+AB205/FX!AB11+AB222/1+AB239/1+AB256/1+AB273/1+AB290/1+AB307/1</f>
        <v>71808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961</v>
      </c>
    </row>
    <row r="3" customFormat="false" ht="15" hidden="false" customHeight="false" outlineLevel="0" collapsed="false">
      <c r="A3" s="49" t="s">
        <v>962</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963</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964</v>
      </c>
      <c r="B9" s="58" t="s">
        <v>965</v>
      </c>
      <c r="C9" s="66" t="n">
        <f aca="false">SUM(E9:P9)</f>
        <v>2637.7164556962</v>
      </c>
      <c r="D9" s="66" t="n">
        <f aca="false">SUM(Q9:AB9)</f>
        <v>2640</v>
      </c>
      <c r="E9" s="67" t="n">
        <f aca="false">IF(E$5="A",Inputs_Actuals!E90,Client_Register!$K$10*Assumptions!E$108*Assumptions!$F$119*(Assumptions!E$99&gt;=((YEAR(Client_Register!$N$10)-YEAR(Assumptions!$C$8))*12+MONTH(Client_Register!$N$10)-MONTH(Assumptions!$C$8)+1)))</f>
        <v>257.5</v>
      </c>
      <c r="F9" s="67" t="n">
        <f aca="false">IF(F$5="A",Inputs_Actuals!F90,Client_Register!$K$10*Assumptions!F$108*Assumptions!$F$119*(Assumptions!F$99&gt;=((YEAR(Client_Register!$N$10)-YEAR(Assumptions!$C$8))*12+MONTH(Client_Register!$N$10)-MONTH(Assumptions!$C$8)+1)))</f>
        <v>224.5</v>
      </c>
      <c r="G9" s="67" t="n">
        <f aca="false">IF(G$5="A",Inputs_Actuals!G90,Client_Register!$K$10*Assumptions!G$108*Assumptions!$F$119*(Assumptions!G$99&gt;=((YEAR(Client_Register!$N$10)-YEAR(Assumptions!$C$8))*12+MONTH(Client_Register!$N$10)-MONTH(Assumptions!$C$8)+1)))</f>
        <v>222.5</v>
      </c>
      <c r="H9" s="67" t="n">
        <f aca="false">IF(H$5="A",Inputs_Actuals!H90,Client_Register!$K$10*Assumptions!H$108*Assumptions!$F$119*(Assumptions!H$99&gt;=((YEAR(Client_Register!$N$10)-YEAR(Assumptions!$C$8))*12+MONTH(Client_Register!$N$10)-MONTH(Assumptions!$C$8)+1)))</f>
        <v>190.7</v>
      </c>
      <c r="I9" s="67" t="n">
        <f aca="false">IF(I$5="A",Inputs_Actuals!I90,Client_Register!$K$10*Assumptions!I$108*Assumptions!$F$119*(Assumptions!I$99&gt;=((YEAR(Client_Register!$N$10)-YEAR(Assumptions!$C$8))*12+MONTH(Client_Register!$N$10)-MONTH(Assumptions!$C$8)+1)))</f>
        <v>206.7</v>
      </c>
      <c r="J9" s="67" t="n">
        <f aca="false">IF(J$5="A",Inputs_Actuals!J90,Client_Register!$K$10*Assumptions!J$108*Assumptions!$F$119*(Assumptions!J$99&gt;=((YEAR(Client_Register!$N$10)-YEAR(Assumptions!$C$8))*12+MONTH(Client_Register!$N$10)-MONTH(Assumptions!$C$8)+1)))</f>
        <v>215.2</v>
      </c>
      <c r="K9" s="67" t="n">
        <f aca="false">IF(K$5="A",Inputs_Actuals!K90,Client_Register!$K$10*Assumptions!K$108*Assumptions!$F$119*(Assumptions!K$99&gt;=((YEAR(Client_Register!$N$10)-YEAR(Assumptions!$C$8))*12+MONTH(Client_Register!$N$10)-MONTH(Assumptions!$C$8)+1)))</f>
        <v>169</v>
      </c>
      <c r="L9" s="67" t="n">
        <f aca="false">IF(L$5="A",Inputs_Actuals!L90,Client_Register!$K$10*Assumptions!L$108*Assumptions!$F$119*(Assumptions!L$99&gt;=((YEAR(Client_Register!$N$10)-YEAR(Assumptions!$C$8))*12+MONTH(Client_Register!$N$10)-MONTH(Assumptions!$C$8)+1)))</f>
        <v>246.3</v>
      </c>
      <c r="M9" s="67" t="n">
        <f aca="false">IF(M$5="A",Inputs_Actuals!M90,Client_Register!$K$10*Assumptions!M$108*Assumptions!$F$119*(Assumptions!M$99&gt;=((YEAR(Client_Register!$N$10)-YEAR(Assumptions!$C$8))*12+MONTH(Client_Register!$N$10)-MONTH(Assumptions!$C$8)+1)))</f>
        <v>240</v>
      </c>
      <c r="N9" s="67" t="n">
        <f aca="false">IF(N$5="A",Inputs_Actuals!N90,Client_Register!$K$10*Assumptions!N$108*Assumptions!$F$119*(Assumptions!N$99&gt;=((YEAR(Client_Register!$N$10)-YEAR(Assumptions!$C$8))*12+MONTH(Client_Register!$N$10)-MONTH(Assumptions!$C$8)+1)))</f>
        <v>249.113924050633</v>
      </c>
      <c r="O9" s="67" t="n">
        <f aca="false">IF(O$5="A",Inputs_Actuals!O90,Client_Register!$K$10*Assumptions!O$108*Assumptions!$F$119*(Assumptions!O$99&gt;=((YEAR(Client_Register!$N$10)-YEAR(Assumptions!$C$8))*12+MONTH(Client_Register!$N$10)-MONTH(Assumptions!$C$8)+1)))</f>
        <v>230.886075949367</v>
      </c>
      <c r="P9" s="67" t="n">
        <f aca="false">IF(P$5="A",Inputs_Actuals!P90,Client_Register!$K$10*Assumptions!P$108*Assumptions!$F$119*(Assumptions!P$99&gt;=((YEAR(Client_Register!$N$10)-YEAR(Assumptions!$C$8))*12+MONTH(Client_Register!$N$10)-MONTH(Assumptions!$C$8)+1)))</f>
        <v>185.316455696203</v>
      </c>
      <c r="Q9" s="67" t="n">
        <f aca="false">IF(Q$5="A",Inputs_Actuals!Q90,Client_Register!$K$10*Assumptions!Q$108*Assumptions!$F$119*(Assumptions!Q$99&gt;=((YEAR(Client_Register!$N$10)-YEAR(Assumptions!$C$8))*12+MONTH(Client_Register!$N$10)-MONTH(Assumptions!$C$8)+1)))</f>
        <v>230.886075949367</v>
      </c>
      <c r="R9" s="67" t="n">
        <f aca="false">IF(R$5="A",Inputs_Actuals!R90,Client_Register!$K$10*Assumptions!R$108*Assumptions!$F$119*(Assumptions!R$99&gt;=((YEAR(Client_Register!$N$10)-YEAR(Assumptions!$C$8))*12+MONTH(Client_Register!$N$10)-MONTH(Assumptions!$C$8)+1)))</f>
        <v>221.772151898734</v>
      </c>
      <c r="S9" s="67" t="n">
        <f aca="false">IF(S$5="A",Inputs_Actuals!S90,Client_Register!$K$10*Assumptions!S$108*Assumptions!$F$119*(Assumptions!S$99&gt;=((YEAR(Client_Register!$N$10)-YEAR(Assumptions!$C$8))*12+MONTH(Client_Register!$N$10)-MONTH(Assumptions!$C$8)+1)))</f>
        <v>240</v>
      </c>
      <c r="T9" s="67" t="n">
        <f aca="false">IF(T$5="A",Inputs_Actuals!T90,Client_Register!$K$10*Assumptions!T$108*Assumptions!$F$119*(Assumptions!T$99&gt;=((YEAR(Client_Register!$N$10)-YEAR(Assumptions!$C$8))*12+MONTH(Client_Register!$N$10)-MONTH(Assumptions!$C$8)+1)))</f>
        <v>227.848101265823</v>
      </c>
      <c r="U9" s="67" t="n">
        <f aca="false">IF(U$5="A",Inputs_Actuals!U90,Client_Register!$K$10*Assumptions!U$108*Assumptions!$F$119*(Assumptions!U$99&gt;=((YEAR(Client_Register!$N$10)-YEAR(Assumptions!$C$8))*12+MONTH(Client_Register!$N$10)-MONTH(Assumptions!$C$8)+1)))</f>
        <v>227.848101265823</v>
      </c>
      <c r="V9" s="67" t="n">
        <f aca="false">IF(V$5="A",Inputs_Actuals!V90,Client_Register!$K$10*Assumptions!V$108*Assumptions!$F$119*(Assumptions!V$99&gt;=((YEAR(Client_Register!$N$10)-YEAR(Assumptions!$C$8))*12+MONTH(Client_Register!$N$10)-MONTH(Assumptions!$C$8)+1)))</f>
        <v>209.620253164557</v>
      </c>
      <c r="W9" s="67" t="n">
        <f aca="false">IF(W$5="A",Inputs_Actuals!W90,Client_Register!$K$10*Assumptions!W$108*Assumptions!$F$119*(Assumptions!W$99&gt;=((YEAR(Client_Register!$N$10)-YEAR(Assumptions!$C$8))*12+MONTH(Client_Register!$N$10)-MONTH(Assumptions!$C$8)+1)))</f>
        <v>170.126582278481</v>
      </c>
      <c r="X9" s="67" t="n">
        <f aca="false">IF(X$5="A",Inputs_Actuals!X90,Client_Register!$K$10*Assumptions!X$108*Assumptions!$F$119*(Assumptions!X$99&gt;=((YEAR(Client_Register!$N$10)-YEAR(Assumptions!$C$8))*12+MONTH(Client_Register!$N$10)-MONTH(Assumptions!$C$8)+1)))</f>
        <v>206.582278481013</v>
      </c>
      <c r="Y9" s="67" t="n">
        <f aca="false">IF(Y$5="A",Inputs_Actuals!Y90,Client_Register!$K$10*Assumptions!Y$108*Assumptions!$F$119*(Assumptions!Y$99&gt;=((YEAR(Client_Register!$N$10)-YEAR(Assumptions!$C$8))*12+MONTH(Client_Register!$N$10)-MONTH(Assumptions!$C$8)+1)))</f>
        <v>240</v>
      </c>
      <c r="Z9" s="67" t="n">
        <f aca="false">IF(Z$5="A",Inputs_Actuals!Z90,Client_Register!$K$10*Assumptions!Z$108*Assumptions!$F$119*(Assumptions!Z$99&gt;=((YEAR(Client_Register!$N$10)-YEAR(Assumptions!$C$8))*12+MONTH(Client_Register!$N$10)-MONTH(Assumptions!$C$8)+1)))</f>
        <v>249.113924050633</v>
      </c>
      <c r="AA9" s="67" t="n">
        <f aca="false">IF(AA$5="A",Inputs_Actuals!AA90,Client_Register!$K$10*Assumptions!AA$108*Assumptions!$F$119*(Assumptions!AA$99&gt;=((YEAR(Client_Register!$N$10)-YEAR(Assumptions!$C$8))*12+MONTH(Client_Register!$N$10)-MONTH(Assumptions!$C$8)+1)))</f>
        <v>230.886075949367</v>
      </c>
      <c r="AB9" s="67" t="n">
        <f aca="false">IF(AB$5="A",Inputs_Actuals!AB90,Client_Register!$K$10*Assumptions!AB$108*Assumptions!$F$119*(Assumptions!AB$99&gt;=((YEAR(Client_Register!$N$10)-YEAR(Assumptions!$C$8))*12+MONTH(Client_Register!$N$10)-MONTH(Assumptions!$C$8)+1)))</f>
        <v>185.316455696203</v>
      </c>
    </row>
    <row r="10" customFormat="false" ht="15" hidden="false" customHeight="false" outlineLevel="0" collapsed="false">
      <c r="A10" s="28" t="s">
        <v>966</v>
      </c>
      <c r="B10" s="58" t="s">
        <v>967</v>
      </c>
      <c r="C10" s="64" t="n">
        <f aca="false">AVERAGE(E10:P10)</f>
        <v>88</v>
      </c>
      <c r="D10" s="64" t="n">
        <f aca="false">AVERAGE(Q10:AB10)</f>
        <v>91.52</v>
      </c>
      <c r="E10" s="65" t="n">
        <f aca="false">Client_Register!$L$10*IF(Assumptions!E$101&gt;YEAR(Assumptions!$C$8),1+Assumptions!$F$122,1)</f>
        <v>88</v>
      </c>
      <c r="F10" s="65" t="n">
        <f aca="false">Client_Register!$L$10*IF(Assumptions!F$101&gt;YEAR(Assumptions!$C$8),1+Assumptions!$F$122,1)</f>
        <v>88</v>
      </c>
      <c r="G10" s="65" t="n">
        <f aca="false">Client_Register!$L$10*IF(Assumptions!G$101&gt;YEAR(Assumptions!$C$8),1+Assumptions!$F$122,1)</f>
        <v>88</v>
      </c>
      <c r="H10" s="65" t="n">
        <f aca="false">Client_Register!$L$10*IF(Assumptions!H$101&gt;YEAR(Assumptions!$C$8),1+Assumptions!$F$122,1)</f>
        <v>88</v>
      </c>
      <c r="I10" s="65" t="n">
        <f aca="false">Client_Register!$L$10*IF(Assumptions!I$101&gt;YEAR(Assumptions!$C$8),1+Assumptions!$F$122,1)</f>
        <v>88</v>
      </c>
      <c r="J10" s="65" t="n">
        <f aca="false">Client_Register!$L$10*IF(Assumptions!J$101&gt;YEAR(Assumptions!$C$8),1+Assumptions!$F$122,1)</f>
        <v>88</v>
      </c>
      <c r="K10" s="65" t="n">
        <f aca="false">Client_Register!$L$10*IF(Assumptions!K$101&gt;YEAR(Assumptions!$C$8),1+Assumptions!$F$122,1)</f>
        <v>88</v>
      </c>
      <c r="L10" s="65" t="n">
        <f aca="false">Client_Register!$L$10*IF(Assumptions!L$101&gt;YEAR(Assumptions!$C$8),1+Assumptions!$F$122,1)</f>
        <v>88</v>
      </c>
      <c r="M10" s="65" t="n">
        <f aca="false">Client_Register!$L$10*IF(Assumptions!M$101&gt;YEAR(Assumptions!$C$8),1+Assumptions!$F$122,1)</f>
        <v>88</v>
      </c>
      <c r="N10" s="65" t="n">
        <f aca="false">Client_Register!$L$10*IF(Assumptions!N$101&gt;YEAR(Assumptions!$C$8),1+Assumptions!$F$122,1)</f>
        <v>88</v>
      </c>
      <c r="O10" s="65" t="n">
        <f aca="false">Client_Register!$L$10*IF(Assumptions!O$101&gt;YEAR(Assumptions!$C$8),1+Assumptions!$F$122,1)</f>
        <v>88</v>
      </c>
      <c r="P10" s="65" t="n">
        <f aca="false">Client_Register!$L$10*IF(Assumptions!P$101&gt;YEAR(Assumptions!$C$8),1+Assumptions!$F$122,1)</f>
        <v>88</v>
      </c>
      <c r="Q10" s="65" t="n">
        <f aca="false">Client_Register!$L$10*IF(Assumptions!Q$101&gt;YEAR(Assumptions!$C$8),1+Assumptions!$F$122,1)</f>
        <v>91.52</v>
      </c>
      <c r="R10" s="65" t="n">
        <f aca="false">Client_Register!$L$10*IF(Assumptions!R$101&gt;YEAR(Assumptions!$C$8),1+Assumptions!$F$122,1)</f>
        <v>91.52</v>
      </c>
      <c r="S10" s="65" t="n">
        <f aca="false">Client_Register!$L$10*IF(Assumptions!S$101&gt;YEAR(Assumptions!$C$8),1+Assumptions!$F$122,1)</f>
        <v>91.52</v>
      </c>
      <c r="T10" s="65" t="n">
        <f aca="false">Client_Register!$L$10*IF(Assumptions!T$101&gt;YEAR(Assumptions!$C$8),1+Assumptions!$F$122,1)</f>
        <v>91.52</v>
      </c>
      <c r="U10" s="65" t="n">
        <f aca="false">Client_Register!$L$10*IF(Assumptions!U$101&gt;YEAR(Assumptions!$C$8),1+Assumptions!$F$122,1)</f>
        <v>91.52</v>
      </c>
      <c r="V10" s="65" t="n">
        <f aca="false">Client_Register!$L$10*IF(Assumptions!V$101&gt;YEAR(Assumptions!$C$8),1+Assumptions!$F$122,1)</f>
        <v>91.52</v>
      </c>
      <c r="W10" s="65" t="n">
        <f aca="false">Client_Register!$L$10*IF(Assumptions!W$101&gt;YEAR(Assumptions!$C$8),1+Assumptions!$F$122,1)</f>
        <v>91.52</v>
      </c>
      <c r="X10" s="65" t="n">
        <f aca="false">Client_Register!$L$10*IF(Assumptions!X$101&gt;YEAR(Assumptions!$C$8),1+Assumptions!$F$122,1)</f>
        <v>91.52</v>
      </c>
      <c r="Y10" s="65" t="n">
        <f aca="false">Client_Register!$L$10*IF(Assumptions!Y$101&gt;YEAR(Assumptions!$C$8),1+Assumptions!$F$122,1)</f>
        <v>91.52</v>
      </c>
      <c r="Z10" s="65" t="n">
        <f aca="false">Client_Register!$L$10*IF(Assumptions!Z$101&gt;YEAR(Assumptions!$C$8),1+Assumptions!$F$122,1)</f>
        <v>91.52</v>
      </c>
      <c r="AA10" s="65" t="n">
        <f aca="false">Client_Register!$L$10*IF(Assumptions!AA$101&gt;YEAR(Assumptions!$C$8),1+Assumptions!$F$122,1)</f>
        <v>91.52</v>
      </c>
      <c r="AB10" s="65" t="n">
        <f aca="false">Client_Register!$L$10*IF(Assumptions!AB$101&gt;YEAR(Assumptions!$C$8),1+Assumptions!$F$122,1)</f>
        <v>91.52</v>
      </c>
    </row>
    <row r="11" customFormat="false" ht="15" hidden="false" customHeight="false" outlineLevel="0" collapsed="false">
      <c r="A11" s="28" t="s">
        <v>968</v>
      </c>
      <c r="B11" s="58" t="s">
        <v>969</v>
      </c>
      <c r="C11" s="61" t="n">
        <f aca="false">AVERAGE(E11:P11)</f>
        <v>0.0852423147699408</v>
      </c>
      <c r="D11" s="61" t="n">
        <f aca="false">AVERAGE(Q11:AB11)</f>
        <v>0.085122845868055</v>
      </c>
      <c r="E11" s="63" t="n">
        <f aca="false">IF(E$5="A",IF(E9*E10=0,0,1-Inputs_Actuals!E91/(E9*E10)),Client_Register!$P$10)</f>
        <v>0.0930216240070608</v>
      </c>
      <c r="F11" s="63" t="n">
        <f aca="false">IF(F$5="A",IF(F9*F10=0,0,1-Inputs_Actuals!F91/(F9*F10)),Client_Register!$P$10)</f>
        <v>0.0829302490382669</v>
      </c>
      <c r="G11" s="63" t="n">
        <f aca="false">IF(G$5="A",IF(G9*G10=0,0,1-Inputs_Actuals!G91/(G9*G10)),Client_Register!$P$10)</f>
        <v>0.0506940755873341</v>
      </c>
      <c r="H11" s="63" t="n">
        <f aca="false">IF(H$5="A",IF(H9*H10=0,0,1-Inputs_Actuals!H91/(H9*H10)),Client_Register!$P$10)</f>
        <v>0.113699528054536</v>
      </c>
      <c r="I11" s="63" t="n">
        <f aca="false">IF(I$5="A",IF(I9*I10=0,0,1-Inputs_Actuals!I91/(I9*I10)),Client_Register!$P$10)</f>
        <v>0.10208085939218</v>
      </c>
      <c r="J11" s="63" t="n">
        <f aca="false">IF(J$5="A",IF(J9*J10=0,0,1-Inputs_Actuals!J91/(J9*J10)),Client_Register!$P$10)</f>
        <v>0.0638708178438661</v>
      </c>
      <c r="K11" s="63" t="n">
        <f aca="false">IF(K$5="A",IF(K9*K10=0,0,1-Inputs_Actuals!K91/(K9*K10)),Client_Register!$P$10)</f>
        <v>0.0813622915545993</v>
      </c>
      <c r="L11" s="63" t="n">
        <f aca="false">IF(L$5="A",IF(L9*L10=0,0,1-Inputs_Actuals!L91/(L9*L10)),Client_Register!$P$10)</f>
        <v>0.0947569482892261</v>
      </c>
      <c r="M11" s="63" t="n">
        <f aca="false">IF(M$5="A",IF(M9*M10=0,0,1-Inputs_Actuals!M91/(M9*M10)),Client_Register!$P$10)</f>
        <v>0.085122845868055</v>
      </c>
      <c r="N11" s="63" t="n">
        <f aca="false">IF(N$5="A",IF(N9*N10=0,0,1-Inputs_Actuals!N91/(N9*N10)),Client_Register!$P$10)</f>
        <v>0.085122845868055</v>
      </c>
      <c r="O11" s="63" t="n">
        <f aca="false">IF(O$5="A",IF(O9*O10=0,0,1-Inputs_Actuals!O91/(O9*O10)),Client_Register!$P$10)</f>
        <v>0.085122845868055</v>
      </c>
      <c r="P11" s="63" t="n">
        <f aca="false">IF(P$5="A",IF(P9*P10=0,0,1-Inputs_Actuals!P91/(P9*P10)),Client_Register!$P$10)</f>
        <v>0.085122845868055</v>
      </c>
      <c r="Q11" s="63" t="n">
        <f aca="false">IF(Q$5="A",IF(Q9*Q10=0,0,1-Inputs_Actuals!Q91/(Q9*Q10)),Client_Register!$P$10)</f>
        <v>0.085122845868055</v>
      </c>
      <c r="R11" s="63" t="n">
        <f aca="false">IF(R$5="A",IF(R9*R10=0,0,1-Inputs_Actuals!R91/(R9*R10)),Client_Register!$P$10)</f>
        <v>0.085122845868055</v>
      </c>
      <c r="S11" s="63" t="n">
        <f aca="false">IF(S$5="A",IF(S9*S10=0,0,1-Inputs_Actuals!S91/(S9*S10)),Client_Register!$P$10)</f>
        <v>0.085122845868055</v>
      </c>
      <c r="T11" s="63" t="n">
        <f aca="false">IF(T$5="A",IF(T9*T10=0,0,1-Inputs_Actuals!T91/(T9*T10)),Client_Register!$P$10)</f>
        <v>0.085122845868055</v>
      </c>
      <c r="U11" s="63" t="n">
        <f aca="false">IF(U$5="A",IF(U9*U10=0,0,1-Inputs_Actuals!U91/(U9*U10)),Client_Register!$P$10)</f>
        <v>0.085122845868055</v>
      </c>
      <c r="V11" s="63" t="n">
        <f aca="false">IF(V$5="A",IF(V9*V10=0,0,1-Inputs_Actuals!V91/(V9*V10)),Client_Register!$P$10)</f>
        <v>0.085122845868055</v>
      </c>
      <c r="W11" s="63" t="n">
        <f aca="false">IF(W$5="A",IF(W9*W10=0,0,1-Inputs_Actuals!W91/(W9*W10)),Client_Register!$P$10)</f>
        <v>0.085122845868055</v>
      </c>
      <c r="X11" s="63" t="n">
        <f aca="false">IF(X$5="A",IF(X9*X10=0,0,1-Inputs_Actuals!X91/(X9*X10)),Client_Register!$P$10)</f>
        <v>0.085122845868055</v>
      </c>
      <c r="Y11" s="63" t="n">
        <f aca="false">IF(Y$5="A",IF(Y9*Y10=0,0,1-Inputs_Actuals!Y91/(Y9*Y10)),Client_Register!$P$10)</f>
        <v>0.085122845868055</v>
      </c>
      <c r="Z11" s="63" t="n">
        <f aca="false">IF(Z$5="A",IF(Z9*Z10=0,0,1-Inputs_Actuals!Z91/(Z9*Z10)),Client_Register!$P$10)</f>
        <v>0.085122845868055</v>
      </c>
      <c r="AA11" s="63" t="n">
        <f aca="false">IF(AA$5="A",IF(AA9*AA10=0,0,1-Inputs_Actuals!AA91/(AA9*AA10)),Client_Register!$P$10)</f>
        <v>0.085122845868055</v>
      </c>
      <c r="AB11" s="63" t="n">
        <f aca="false">IF(AB$5="A",IF(AB9*AB10=0,0,1-Inputs_Actuals!AB91/(AB9*AB10)),Client_Register!$P$10)</f>
        <v>0.085122845868055</v>
      </c>
    </row>
    <row r="12" customFormat="false" ht="15" hidden="false" customHeight="false" outlineLevel="0" collapsed="false">
      <c r="A12" s="28" t="s">
        <v>970</v>
      </c>
      <c r="B12" s="58" t="s">
        <v>971</v>
      </c>
      <c r="C12" s="59" t="n">
        <f aca="false">SUM(E12:P12)</f>
        <v>212360.414146702</v>
      </c>
      <c r="D12" s="59" t="n">
        <f aca="false">SUM(Q12:AB12)</f>
        <v>221046.030865851</v>
      </c>
      <c r="E12" s="60" t="n">
        <f aca="false">IF(E$5="A",Inputs_Actuals!E91,E9*E10*(1-E11))</f>
        <v>20552.13</v>
      </c>
      <c r="F12" s="60" t="n">
        <f aca="false">IF(F$5="A",Inputs_Actuals!F91,F9*F10*(1-F11))</f>
        <v>18117.63</v>
      </c>
      <c r="G12" s="60" t="n">
        <f aca="false">IF(G$5="A",Inputs_Actuals!G91,G9*G10*(1-G11))</f>
        <v>18587.41</v>
      </c>
      <c r="H12" s="60" t="n">
        <f aca="false">IF(H$5="A",Inputs_Actuals!H91,H9*H10*(1-H11))</f>
        <v>14873.54</v>
      </c>
      <c r="I12" s="60" t="n">
        <f aca="false">IF(I$5="A",Inputs_Actuals!I91,I9*I10*(1-I11))</f>
        <v>16332.79</v>
      </c>
      <c r="J12" s="60" t="n">
        <f aca="false">IF(J$5="A",Inputs_Actuals!J91,J9*J10*(1-J11))</f>
        <v>17728.04</v>
      </c>
      <c r="K12" s="60" t="n">
        <f aca="false">IF(K$5="A",Inputs_Actuals!K91,K9*K10*(1-K11))</f>
        <v>13661.98</v>
      </c>
      <c r="L12" s="60" t="n">
        <f aca="false">IF(L$5="A",Inputs_Actuals!L91,L9*L10*(1-L11))</f>
        <v>19620.6</v>
      </c>
      <c r="M12" s="60" t="n">
        <f aca="false">IF(M$5="A",Inputs_Actuals!M91,M9*M10*(1-M11))</f>
        <v>19322.2054952667</v>
      </c>
      <c r="N12" s="60" t="n">
        <f aca="false">IF(N$5="A",Inputs_Actuals!N91,N9*N10*(1-N11))</f>
        <v>20055.9601343274</v>
      </c>
      <c r="O12" s="60" t="n">
        <f aca="false">IF(O$5="A",Inputs_Actuals!O91,O9*O10*(1-O11))</f>
        <v>18588.4508562059</v>
      </c>
      <c r="P12" s="60" t="n">
        <f aca="false">IF(P$5="A",Inputs_Actuals!P91,P9*P10*(1-P11))</f>
        <v>14919.6776609021</v>
      </c>
      <c r="Q12" s="60" t="n">
        <f aca="false">IF(Q$5="A",Inputs_Actuals!Q91,Q9*Q10*(1-Q11))</f>
        <v>19331.9888904542</v>
      </c>
      <c r="R12" s="60" t="n">
        <f aca="false">IF(R$5="A",Inputs_Actuals!R91,R9*R10*(1-R11))</f>
        <v>18568.884065831</v>
      </c>
      <c r="S12" s="60" t="n">
        <f aca="false">IF(S$5="A",Inputs_Actuals!S91,S9*S10*(1-S11))</f>
        <v>20095.0937150773</v>
      </c>
      <c r="T12" s="60" t="n">
        <f aca="false">IF(T$5="A",Inputs_Actuals!T91,T9*T10*(1-T11))</f>
        <v>19077.6206155798</v>
      </c>
      <c r="U12" s="60" t="n">
        <f aca="false">IF(U$5="A",Inputs_Actuals!U91,U9*U10*(1-U11))</f>
        <v>19077.6206155798</v>
      </c>
      <c r="V12" s="60" t="n">
        <f aca="false">IF(V$5="A",Inputs_Actuals!V91,V9*V10*(1-V11))</f>
        <v>17551.4109663334</v>
      </c>
      <c r="W12" s="60" t="n">
        <f aca="false">IF(W$5="A",Inputs_Actuals!W91,W9*W10*(1-W11))</f>
        <v>14244.6233929662</v>
      </c>
      <c r="X12" s="60" t="n">
        <f aca="false">IF(X$5="A",Inputs_Actuals!X91,X9*X10*(1-X11))</f>
        <v>17297.042691459</v>
      </c>
      <c r="Y12" s="60" t="n">
        <f aca="false">IF(Y$5="A",Inputs_Actuals!Y91,Y9*Y10*(1-Y11))</f>
        <v>20095.0937150773</v>
      </c>
      <c r="Z12" s="60" t="n">
        <f aca="false">IF(Z$5="A",Inputs_Actuals!Z91,Z9*Z10*(1-Z11))</f>
        <v>20858.1985397005</v>
      </c>
      <c r="AA12" s="60" t="n">
        <f aca="false">IF(AA$5="A",Inputs_Actuals!AA91,AA9*AA10*(1-AA11))</f>
        <v>19331.9888904542</v>
      </c>
      <c r="AB12" s="60" t="n">
        <f aca="false">IF(AB$5="A",Inputs_Actuals!AB91,AB9*AB10*(1-AB11))</f>
        <v>15516.4647673382</v>
      </c>
    </row>
    <row r="13" customFormat="false" ht="15" hidden="false" customHeight="false" outlineLevel="0" collapsed="false">
      <c r="A13" s="28" t="s">
        <v>972</v>
      </c>
      <c r="B13" s="58" t="s">
        <v>973</v>
      </c>
      <c r="C13" s="59" t="n">
        <f aca="false">SUM(E13:P13)</f>
        <v>211636.1264858</v>
      </c>
      <c r="D13" s="59" t="n">
        <f aca="false">SUM(Q13:AB13)</f>
        <v>220449.243759415</v>
      </c>
      <c r="E13" s="60" t="n">
        <f aca="false">IF(E$5="A",Inputs_Actuals!E92,0)</f>
        <v>14195.39</v>
      </c>
      <c r="F13" s="60" t="n">
        <f aca="false">IF(F$5="A",Inputs_Actuals!F92,E12)</f>
        <v>20552.13</v>
      </c>
      <c r="G13" s="60" t="n">
        <f aca="false">IF(G$5="A",Inputs_Actuals!G92,F12)</f>
        <v>18117.63</v>
      </c>
      <c r="H13" s="60" t="n">
        <f aca="false">IF(H$5="A",Inputs_Actuals!H92,G12)</f>
        <v>18587.41</v>
      </c>
      <c r="I13" s="60" t="n">
        <f aca="false">IF(I$5="A",Inputs_Actuals!I92,H12)</f>
        <v>14873.54</v>
      </c>
      <c r="J13" s="60" t="n">
        <f aca="false">IF(J$5="A",Inputs_Actuals!J92,I12)</f>
        <v>16332.79</v>
      </c>
      <c r="K13" s="60" t="n">
        <f aca="false">IF(K$5="A",Inputs_Actuals!K92,J12)</f>
        <v>17728.04</v>
      </c>
      <c r="L13" s="60" t="n">
        <f aca="false">IF(L$5="A",Inputs_Actuals!L92,K12)</f>
        <v>13661.98</v>
      </c>
      <c r="M13" s="60" t="n">
        <f aca="false">IF(M$5="A",Inputs_Actuals!M92,L12)</f>
        <v>19620.6</v>
      </c>
      <c r="N13" s="60" t="n">
        <f aca="false">IF(N$5="A",Inputs_Actuals!N92,M12)</f>
        <v>19322.2054952667</v>
      </c>
      <c r="O13" s="60" t="n">
        <f aca="false">IF(O$5="A",Inputs_Actuals!O92,N12)</f>
        <v>20055.9601343274</v>
      </c>
      <c r="P13" s="60" t="n">
        <f aca="false">IF(P$5="A",Inputs_Actuals!P92,O12)</f>
        <v>18588.4508562059</v>
      </c>
      <c r="Q13" s="60" t="n">
        <f aca="false">IF(Q$5="A",Inputs_Actuals!Q92,P12)</f>
        <v>14919.6776609021</v>
      </c>
      <c r="R13" s="60" t="n">
        <f aca="false">IF(R$5="A",Inputs_Actuals!R92,Q12)</f>
        <v>19331.9888904542</v>
      </c>
      <c r="S13" s="60" t="n">
        <f aca="false">IF(S$5="A",Inputs_Actuals!S92,R12)</f>
        <v>18568.884065831</v>
      </c>
      <c r="T13" s="60" t="n">
        <f aca="false">IF(T$5="A",Inputs_Actuals!T92,S12)</f>
        <v>20095.0937150773</v>
      </c>
      <c r="U13" s="60" t="n">
        <f aca="false">IF(U$5="A",Inputs_Actuals!U92,T12)</f>
        <v>19077.6206155798</v>
      </c>
      <c r="V13" s="60" t="n">
        <f aca="false">IF(V$5="A",Inputs_Actuals!V92,U12)</f>
        <v>19077.6206155798</v>
      </c>
      <c r="W13" s="60" t="n">
        <f aca="false">IF(W$5="A",Inputs_Actuals!W92,V12)</f>
        <v>17551.4109663334</v>
      </c>
      <c r="X13" s="60" t="n">
        <f aca="false">IF(X$5="A",Inputs_Actuals!X92,W12)</f>
        <v>14244.6233929662</v>
      </c>
      <c r="Y13" s="60" t="n">
        <f aca="false">IF(Y$5="A",Inputs_Actuals!Y92,X12)</f>
        <v>17297.042691459</v>
      </c>
      <c r="Z13" s="60" t="n">
        <f aca="false">IF(Z$5="A",Inputs_Actuals!Z92,Y12)</f>
        <v>20095.0937150773</v>
      </c>
      <c r="AA13" s="60" t="n">
        <f aca="false">IF(AA$5="A",Inputs_Actuals!AA92,Z12)</f>
        <v>20858.1985397005</v>
      </c>
      <c r="AB13" s="60" t="n">
        <f aca="false">IF(AB$5="A",Inputs_Actuals!AB92,AA12)</f>
        <v>19331.9888904542</v>
      </c>
    </row>
    <row r="14" customFormat="false" ht="15" hidden="false" customHeight="false" outlineLevel="0" collapsed="false">
      <c r="A14" s="28" t="s">
        <v>974</v>
      </c>
      <c r="B14" s="58" t="s">
        <v>975</v>
      </c>
      <c r="C14" s="59" t="n">
        <f aca="false">SUM(E14:P14)</f>
        <v>290148.810126582</v>
      </c>
      <c r="D14" s="59" t="n">
        <f aca="false">SUM(Q14:AB14)</f>
        <v>302016</v>
      </c>
      <c r="E14" s="60" t="n">
        <f aca="false">E9*Utilisation!E98</f>
        <v>28325</v>
      </c>
      <c r="F14" s="60" t="n">
        <f aca="false">F9*Utilisation!F98</f>
        <v>24695</v>
      </c>
      <c r="G14" s="60" t="n">
        <f aca="false">G9*Utilisation!G98</f>
        <v>24475</v>
      </c>
      <c r="H14" s="60" t="n">
        <f aca="false">H9*Utilisation!H98</f>
        <v>20977</v>
      </c>
      <c r="I14" s="60" t="n">
        <f aca="false">I9*Utilisation!I98</f>
        <v>22737</v>
      </c>
      <c r="J14" s="60" t="n">
        <f aca="false">J9*Utilisation!J98</f>
        <v>23672</v>
      </c>
      <c r="K14" s="60" t="n">
        <f aca="false">K9*Utilisation!K98</f>
        <v>18590</v>
      </c>
      <c r="L14" s="60" t="n">
        <f aca="false">L9*Utilisation!L98</f>
        <v>27093</v>
      </c>
      <c r="M14" s="60" t="n">
        <f aca="false">M9*Utilisation!M98</f>
        <v>26400</v>
      </c>
      <c r="N14" s="60" t="n">
        <f aca="false">N9*Utilisation!N98</f>
        <v>27402.5316455696</v>
      </c>
      <c r="O14" s="60" t="n">
        <f aca="false">O9*Utilisation!O98</f>
        <v>25397.4683544304</v>
      </c>
      <c r="P14" s="60" t="n">
        <f aca="false">P9*Utilisation!P98</f>
        <v>20384.8101265823</v>
      </c>
      <c r="Q14" s="60" t="n">
        <f aca="false">Q9*Utilisation!Q98</f>
        <v>26413.3670886076</v>
      </c>
      <c r="R14" s="60" t="n">
        <f aca="false">R9*Utilisation!R98</f>
        <v>25370.7341772152</v>
      </c>
      <c r="S14" s="60" t="n">
        <f aca="false">S9*Utilisation!S98</f>
        <v>27456</v>
      </c>
      <c r="T14" s="60" t="n">
        <f aca="false">T9*Utilisation!T98</f>
        <v>26065.8227848101</v>
      </c>
      <c r="U14" s="60" t="n">
        <f aca="false">U9*Utilisation!U98</f>
        <v>26065.8227848101</v>
      </c>
      <c r="V14" s="60" t="n">
        <f aca="false">V9*Utilisation!V98</f>
        <v>23980.5569620253</v>
      </c>
      <c r="W14" s="60" t="n">
        <f aca="false">W9*Utilisation!W98</f>
        <v>19462.4810126582</v>
      </c>
      <c r="X14" s="60" t="n">
        <f aca="false">X9*Utilisation!X98</f>
        <v>23633.0126582278</v>
      </c>
      <c r="Y14" s="60" t="n">
        <f aca="false">Y9*Utilisation!Y98</f>
        <v>27456</v>
      </c>
      <c r="Z14" s="60" t="n">
        <f aca="false">Z9*Utilisation!Z98</f>
        <v>28498.6329113924</v>
      </c>
      <c r="AA14" s="60" t="n">
        <f aca="false">AA9*Utilisation!AA98</f>
        <v>26413.3670886076</v>
      </c>
      <c r="AB14" s="60" t="n">
        <f aca="false">AB9*Utilisation!AB98</f>
        <v>21200.2025316456</v>
      </c>
    </row>
    <row r="15" customFormat="false" ht="15" hidden="false" customHeight="false" outlineLevel="0" collapsed="false">
      <c r="A15" s="28" t="s">
        <v>976</v>
      </c>
      <c r="B15" s="58" t="s">
        <v>965</v>
      </c>
      <c r="C15" s="66" t="n">
        <f aca="false">SUM(E15:P15)</f>
        <v>899.456731875719</v>
      </c>
      <c r="D15" s="66" t="n">
        <f aca="false">SUM(Q15:AB15)</f>
        <v>1080</v>
      </c>
      <c r="E15" s="67" t="n">
        <f aca="false">IF(E$5="A",Inputs_Actuals!E93,Client_Register!$K$22*Assumptions!E$108*Assumptions!$F$119*(Assumptions!E$99&gt;=((YEAR(Client_Register!$N$22)-YEAR(Assumptions!$C$8))*12+MONTH(Client_Register!$N$22)-MONTH(Assumptions!$C$8)+1)))</f>
        <v>0</v>
      </c>
      <c r="F15" s="67" t="n">
        <f aca="false">IF(F$5="A",Inputs_Actuals!F93,Client_Register!$K$22*Assumptions!F$108*Assumptions!$F$119*(Assumptions!F$99&gt;=((YEAR(Client_Register!$N$22)-YEAR(Assumptions!$C$8))*12+MONTH(Client_Register!$N$22)-MONTH(Assumptions!$C$8)+1)))</f>
        <v>0</v>
      </c>
      <c r="G15" s="67" t="n">
        <f aca="false">IF(G$5="A",Inputs_Actuals!G93,Client_Register!$K$22*Assumptions!G$108*Assumptions!$F$119*(Assumptions!G$99&gt;=((YEAR(Client_Register!$N$22)-YEAR(Assumptions!$C$8))*12+MONTH(Client_Register!$N$22)-MONTH(Assumptions!$C$8)+1)))</f>
        <v>96.2</v>
      </c>
      <c r="H15" s="67" t="n">
        <f aca="false">IF(H$5="A",Inputs_Actuals!H93,Client_Register!$K$22*Assumptions!H$108*Assumptions!$F$119*(Assumptions!H$99&gt;=((YEAR(Client_Register!$N$22)-YEAR(Assumptions!$C$8))*12+MONTH(Client_Register!$N$22)-MONTH(Assumptions!$C$8)+1)))</f>
        <v>91.5</v>
      </c>
      <c r="I15" s="67" t="n">
        <f aca="false">IF(I$5="A",Inputs_Actuals!I93,Client_Register!$K$22*Assumptions!I$108*Assumptions!$F$119*(Assumptions!I$99&gt;=((YEAR(Client_Register!$N$22)-YEAR(Assumptions!$C$8))*12+MONTH(Client_Register!$N$22)-MONTH(Assumptions!$C$8)+1)))</f>
        <v>99.9</v>
      </c>
      <c r="J15" s="67" t="n">
        <f aca="false">IF(J$5="A",Inputs_Actuals!J93,Client_Register!$K$22*Assumptions!J$108*Assumptions!$F$119*(Assumptions!J$99&gt;=((YEAR(Client_Register!$N$22)-YEAR(Assumptions!$C$8))*12+MONTH(Client_Register!$N$22)-MONTH(Assumptions!$C$8)+1)))</f>
        <v>86.4</v>
      </c>
      <c r="K15" s="67" t="n">
        <f aca="false">IF(K$5="A",Inputs_Actuals!K93,Client_Register!$K$22*Assumptions!K$108*Assumptions!$F$119*(Assumptions!K$99&gt;=((YEAR(Client_Register!$N$22)-YEAR(Assumptions!$C$8))*12+MONTH(Client_Register!$N$22)-MONTH(Assumptions!$C$8)+1)))</f>
        <v>64.5</v>
      </c>
      <c r="L15" s="67" t="n">
        <f aca="false">IF(L$5="A",Inputs_Actuals!L93,Client_Register!$K$22*Assumptions!L$108*Assumptions!$F$119*(Assumptions!L$99&gt;=((YEAR(Client_Register!$N$22)-YEAR(Assumptions!$C$8))*12+MONTH(Client_Register!$N$22)-MONTH(Assumptions!$C$8)+1)))</f>
        <v>90.6</v>
      </c>
      <c r="M15" s="67" t="n">
        <f aca="false">IF(M$5="A",Inputs_Actuals!M93,Client_Register!$K$22*Assumptions!M$108*Assumptions!$F$119*(Assumptions!M$99&gt;=((YEAR(Client_Register!$N$22)-YEAR(Assumptions!$C$8))*12+MONTH(Client_Register!$N$22)-MONTH(Assumptions!$C$8)+1)))</f>
        <v>98.1818181818182</v>
      </c>
      <c r="N15" s="67" t="n">
        <f aca="false">IF(N$5="A",Inputs_Actuals!N93,Client_Register!$K$22*Assumptions!N$108*Assumptions!$F$119*(Assumptions!N$99&gt;=((YEAR(Client_Register!$N$22)-YEAR(Assumptions!$C$8))*12+MONTH(Client_Register!$N$22)-MONTH(Assumptions!$C$8)+1)))</f>
        <v>101.910241657077</v>
      </c>
      <c r="O15" s="67" t="n">
        <f aca="false">IF(O$5="A",Inputs_Actuals!O93,Client_Register!$K$22*Assumptions!O$108*Assumptions!$F$119*(Assumptions!O$99&gt;=((YEAR(Client_Register!$N$22)-YEAR(Assumptions!$C$8))*12+MONTH(Client_Register!$N$22)-MONTH(Assumptions!$C$8)+1)))</f>
        <v>94.4533947065593</v>
      </c>
      <c r="P15" s="67" t="n">
        <f aca="false">IF(P$5="A",Inputs_Actuals!P93,Client_Register!$K$22*Assumptions!P$108*Assumptions!$F$119*(Assumptions!P$99&gt;=((YEAR(Client_Register!$N$22)-YEAR(Assumptions!$C$8))*12+MONTH(Client_Register!$N$22)-MONTH(Assumptions!$C$8)+1)))</f>
        <v>75.8112773302647</v>
      </c>
      <c r="Q15" s="67" t="n">
        <f aca="false">IF(Q$5="A",Inputs_Actuals!Q93,Client_Register!$K$22*Assumptions!Q$108*Assumptions!$F$119*(Assumptions!Q$99&gt;=((YEAR(Client_Register!$N$22)-YEAR(Assumptions!$C$8))*12+MONTH(Client_Register!$N$22)-MONTH(Assumptions!$C$8)+1)))</f>
        <v>94.4533947065593</v>
      </c>
      <c r="R15" s="67" t="n">
        <f aca="false">IF(R$5="A",Inputs_Actuals!R93,Client_Register!$K$22*Assumptions!R$108*Assumptions!$F$119*(Assumptions!R$99&gt;=((YEAR(Client_Register!$N$22)-YEAR(Assumptions!$C$8))*12+MONTH(Client_Register!$N$22)-MONTH(Assumptions!$C$8)+1)))</f>
        <v>90.7249712313003</v>
      </c>
      <c r="S15" s="67" t="n">
        <f aca="false">IF(S$5="A",Inputs_Actuals!S93,Client_Register!$K$22*Assumptions!S$108*Assumptions!$F$119*(Assumptions!S$99&gt;=((YEAR(Client_Register!$N$22)-YEAR(Assumptions!$C$8))*12+MONTH(Client_Register!$N$22)-MONTH(Assumptions!$C$8)+1)))</f>
        <v>98.1818181818182</v>
      </c>
      <c r="T15" s="67" t="n">
        <f aca="false">IF(T$5="A",Inputs_Actuals!T93,Client_Register!$K$22*Assumptions!T$108*Assumptions!$F$119*(Assumptions!T$99&gt;=((YEAR(Client_Register!$N$22)-YEAR(Assumptions!$C$8))*12+MONTH(Client_Register!$N$22)-MONTH(Assumptions!$C$8)+1)))</f>
        <v>93.210586881473</v>
      </c>
      <c r="U15" s="67" t="n">
        <f aca="false">IF(U$5="A",Inputs_Actuals!U93,Client_Register!$K$22*Assumptions!U$108*Assumptions!$F$119*(Assumptions!U$99&gt;=((YEAR(Client_Register!$N$22)-YEAR(Assumptions!$C$8))*12+MONTH(Client_Register!$N$22)-MONTH(Assumptions!$C$8)+1)))</f>
        <v>93.210586881473</v>
      </c>
      <c r="V15" s="67" t="n">
        <f aca="false">IF(V$5="A",Inputs_Actuals!V93,Client_Register!$K$22*Assumptions!V$108*Assumptions!$F$119*(Assumptions!V$99&gt;=((YEAR(Client_Register!$N$22)-YEAR(Assumptions!$C$8))*12+MONTH(Client_Register!$N$22)-MONTH(Assumptions!$C$8)+1)))</f>
        <v>85.7537399309551</v>
      </c>
      <c r="W15" s="67" t="n">
        <f aca="false">IF(W$5="A",Inputs_Actuals!W93,Client_Register!$K$22*Assumptions!W$108*Assumptions!$F$119*(Assumptions!W$99&gt;=((YEAR(Client_Register!$N$22)-YEAR(Assumptions!$C$8))*12+MONTH(Client_Register!$N$22)-MONTH(Assumptions!$C$8)+1)))</f>
        <v>69.5972382048331</v>
      </c>
      <c r="X15" s="67" t="n">
        <f aca="false">IF(X$5="A",Inputs_Actuals!X93,Client_Register!$K$22*Assumptions!X$108*Assumptions!$F$119*(Assumptions!X$99&gt;=((YEAR(Client_Register!$N$22)-YEAR(Assumptions!$C$8))*12+MONTH(Client_Register!$N$22)-MONTH(Assumptions!$C$8)+1)))</f>
        <v>84.5109321058688</v>
      </c>
      <c r="Y15" s="67" t="n">
        <f aca="false">IF(Y$5="A",Inputs_Actuals!Y93,Client_Register!$K$22*Assumptions!Y$108*Assumptions!$F$119*(Assumptions!Y$99&gt;=((YEAR(Client_Register!$N$22)-YEAR(Assumptions!$C$8))*12+MONTH(Client_Register!$N$22)-MONTH(Assumptions!$C$8)+1)))</f>
        <v>98.1818181818182</v>
      </c>
      <c r="Z15" s="67" t="n">
        <f aca="false">IF(Z$5="A",Inputs_Actuals!Z93,Client_Register!$K$22*Assumptions!Z$108*Assumptions!$F$119*(Assumptions!Z$99&gt;=((YEAR(Client_Register!$N$22)-YEAR(Assumptions!$C$8))*12+MONTH(Client_Register!$N$22)-MONTH(Assumptions!$C$8)+1)))</f>
        <v>101.910241657077</v>
      </c>
      <c r="AA15" s="67" t="n">
        <f aca="false">IF(AA$5="A",Inputs_Actuals!AA93,Client_Register!$K$22*Assumptions!AA$108*Assumptions!$F$119*(Assumptions!AA$99&gt;=((YEAR(Client_Register!$N$22)-YEAR(Assumptions!$C$8))*12+MONTH(Client_Register!$N$22)-MONTH(Assumptions!$C$8)+1)))</f>
        <v>94.4533947065593</v>
      </c>
      <c r="AB15" s="67" t="n">
        <f aca="false">IF(AB$5="A",Inputs_Actuals!AB93,Client_Register!$K$22*Assumptions!AB$108*Assumptions!$F$119*(Assumptions!AB$99&gt;=((YEAR(Client_Register!$N$22)-YEAR(Assumptions!$C$8))*12+MONTH(Client_Register!$N$22)-MONTH(Assumptions!$C$8)+1)))</f>
        <v>75.8112773302647</v>
      </c>
    </row>
    <row r="16" customFormat="false" ht="15" hidden="false" customHeight="false" outlineLevel="0" collapsed="false">
      <c r="A16" s="28" t="s">
        <v>977</v>
      </c>
      <c r="B16" s="58" t="s">
        <v>967</v>
      </c>
      <c r="C16" s="64" t="n">
        <f aca="false">AVERAGE(E16:P16)</f>
        <v>98</v>
      </c>
      <c r="D16" s="64" t="n">
        <f aca="false">AVERAGE(Q16:AB16)</f>
        <v>101.92</v>
      </c>
      <c r="E16" s="65" t="n">
        <f aca="false">Client_Register!$L$22*IF(Assumptions!E$101&gt;YEAR(Assumptions!$C$8),1+Assumptions!$F$122,1)</f>
        <v>98</v>
      </c>
      <c r="F16" s="65" t="n">
        <f aca="false">Client_Register!$L$22*IF(Assumptions!F$101&gt;YEAR(Assumptions!$C$8),1+Assumptions!$F$122,1)</f>
        <v>98</v>
      </c>
      <c r="G16" s="65" t="n">
        <f aca="false">Client_Register!$L$22*IF(Assumptions!G$101&gt;YEAR(Assumptions!$C$8),1+Assumptions!$F$122,1)</f>
        <v>98</v>
      </c>
      <c r="H16" s="65" t="n">
        <f aca="false">Client_Register!$L$22*IF(Assumptions!H$101&gt;YEAR(Assumptions!$C$8),1+Assumptions!$F$122,1)</f>
        <v>98</v>
      </c>
      <c r="I16" s="65" t="n">
        <f aca="false">Client_Register!$L$22*IF(Assumptions!I$101&gt;YEAR(Assumptions!$C$8),1+Assumptions!$F$122,1)</f>
        <v>98</v>
      </c>
      <c r="J16" s="65" t="n">
        <f aca="false">Client_Register!$L$22*IF(Assumptions!J$101&gt;YEAR(Assumptions!$C$8),1+Assumptions!$F$122,1)</f>
        <v>98</v>
      </c>
      <c r="K16" s="65" t="n">
        <f aca="false">Client_Register!$L$22*IF(Assumptions!K$101&gt;YEAR(Assumptions!$C$8),1+Assumptions!$F$122,1)</f>
        <v>98</v>
      </c>
      <c r="L16" s="65" t="n">
        <f aca="false">Client_Register!$L$22*IF(Assumptions!L$101&gt;YEAR(Assumptions!$C$8),1+Assumptions!$F$122,1)</f>
        <v>98</v>
      </c>
      <c r="M16" s="65" t="n">
        <f aca="false">Client_Register!$L$22*IF(Assumptions!M$101&gt;YEAR(Assumptions!$C$8),1+Assumptions!$F$122,1)</f>
        <v>98</v>
      </c>
      <c r="N16" s="65" t="n">
        <f aca="false">Client_Register!$L$22*IF(Assumptions!N$101&gt;YEAR(Assumptions!$C$8),1+Assumptions!$F$122,1)</f>
        <v>98</v>
      </c>
      <c r="O16" s="65" t="n">
        <f aca="false">Client_Register!$L$22*IF(Assumptions!O$101&gt;YEAR(Assumptions!$C$8),1+Assumptions!$F$122,1)</f>
        <v>98</v>
      </c>
      <c r="P16" s="65" t="n">
        <f aca="false">Client_Register!$L$22*IF(Assumptions!P$101&gt;YEAR(Assumptions!$C$8),1+Assumptions!$F$122,1)</f>
        <v>98</v>
      </c>
      <c r="Q16" s="65" t="n">
        <f aca="false">Client_Register!$L$22*IF(Assumptions!Q$101&gt;YEAR(Assumptions!$C$8),1+Assumptions!$F$122,1)</f>
        <v>101.92</v>
      </c>
      <c r="R16" s="65" t="n">
        <f aca="false">Client_Register!$L$22*IF(Assumptions!R$101&gt;YEAR(Assumptions!$C$8),1+Assumptions!$F$122,1)</f>
        <v>101.92</v>
      </c>
      <c r="S16" s="65" t="n">
        <f aca="false">Client_Register!$L$22*IF(Assumptions!S$101&gt;YEAR(Assumptions!$C$8),1+Assumptions!$F$122,1)</f>
        <v>101.92</v>
      </c>
      <c r="T16" s="65" t="n">
        <f aca="false">Client_Register!$L$22*IF(Assumptions!T$101&gt;YEAR(Assumptions!$C$8),1+Assumptions!$F$122,1)</f>
        <v>101.92</v>
      </c>
      <c r="U16" s="65" t="n">
        <f aca="false">Client_Register!$L$22*IF(Assumptions!U$101&gt;YEAR(Assumptions!$C$8),1+Assumptions!$F$122,1)</f>
        <v>101.92</v>
      </c>
      <c r="V16" s="65" t="n">
        <f aca="false">Client_Register!$L$22*IF(Assumptions!V$101&gt;YEAR(Assumptions!$C$8),1+Assumptions!$F$122,1)</f>
        <v>101.92</v>
      </c>
      <c r="W16" s="65" t="n">
        <f aca="false">Client_Register!$L$22*IF(Assumptions!W$101&gt;YEAR(Assumptions!$C$8),1+Assumptions!$F$122,1)</f>
        <v>101.92</v>
      </c>
      <c r="X16" s="65" t="n">
        <f aca="false">Client_Register!$L$22*IF(Assumptions!X$101&gt;YEAR(Assumptions!$C$8),1+Assumptions!$F$122,1)</f>
        <v>101.92</v>
      </c>
      <c r="Y16" s="65" t="n">
        <f aca="false">Client_Register!$L$22*IF(Assumptions!Y$101&gt;YEAR(Assumptions!$C$8),1+Assumptions!$F$122,1)</f>
        <v>101.92</v>
      </c>
      <c r="Z16" s="65" t="n">
        <f aca="false">Client_Register!$L$22*IF(Assumptions!Z$101&gt;YEAR(Assumptions!$C$8),1+Assumptions!$F$122,1)</f>
        <v>101.92</v>
      </c>
      <c r="AA16" s="65" t="n">
        <f aca="false">Client_Register!$L$22*IF(Assumptions!AA$101&gt;YEAR(Assumptions!$C$8),1+Assumptions!$F$122,1)</f>
        <v>101.92</v>
      </c>
      <c r="AB16" s="65" t="n">
        <f aca="false">Client_Register!$L$22*IF(Assumptions!AB$101&gt;YEAR(Assumptions!$C$8),1+Assumptions!$F$122,1)</f>
        <v>101.92</v>
      </c>
    </row>
    <row r="17" customFormat="false" ht="15" hidden="false" customHeight="false" outlineLevel="0" collapsed="false">
      <c r="A17" s="28" t="s">
        <v>978</v>
      </c>
      <c r="B17" s="58" t="s">
        <v>969</v>
      </c>
      <c r="C17" s="61" t="n">
        <f aca="false">AVERAGE(E17:P17)</f>
        <v>0.0471392514249684</v>
      </c>
      <c r="D17" s="61" t="n">
        <f aca="false">AVERAGE(Q17:AB17)</f>
        <v>0.0566267709124853</v>
      </c>
      <c r="E17" s="63" t="n">
        <f aca="false">IF(E$5="A",IF(E15*E16=0,0,1-Inputs_Actuals!E94/(E15*E16)),Client_Register!$P$22)</f>
        <v>0</v>
      </c>
      <c r="F17" s="63" t="n">
        <f aca="false">IF(F$5="A",IF(F15*F16=0,0,1-Inputs_Actuals!F94/(F15*F16)),Client_Register!$P$22)</f>
        <v>0</v>
      </c>
      <c r="G17" s="63" t="n">
        <f aca="false">IF(G$5="A",IF(G15*G16=0,0,1-Inputs_Actuals!G94/(G15*G16)),Client_Register!$P$22)</f>
        <v>0.0762898298612584</v>
      </c>
      <c r="H17" s="63" t="n">
        <f aca="false">IF(H$5="A",IF(H15*H16=0,0,1-Inputs_Actuals!H94/(H15*H16)),Client_Register!$P$22)</f>
        <v>0.0641429686628749</v>
      </c>
      <c r="I17" s="63" t="n">
        <f aca="false">IF(I$5="A",IF(I15*I16=0,0,1-Inputs_Actuals!I94/(I15*I16)),Client_Register!$P$22)</f>
        <v>0.0502053073481645</v>
      </c>
      <c r="J17" s="63" t="n">
        <f aca="false">IF(J$5="A",IF(J15*J16=0,0,1-Inputs_Actuals!J94/(J15*J16)),Client_Register!$P$22)</f>
        <v>0.0227761243386244</v>
      </c>
      <c r="K17" s="63" t="n">
        <f aca="false">IF(K$5="A",IF(K15*K16=0,0,1-Inputs_Actuals!K94/(K15*K16)),Client_Register!$P$22)</f>
        <v>0.0621926910299003</v>
      </c>
      <c r="L17" s="63" t="n">
        <f aca="false">IF(L$5="A",IF(L15*L16=0,0,1-Inputs_Actuals!L94/(L15*L16)),Client_Register!$P$22)</f>
        <v>0.063557012208857</v>
      </c>
      <c r="M17" s="63" t="n">
        <f aca="false">IF(M$5="A",IF(M15*M16=0,0,1-Inputs_Actuals!M94/(M15*M16)),Client_Register!$P$22)</f>
        <v>0.0566267709124853</v>
      </c>
      <c r="N17" s="63" t="n">
        <f aca="false">IF(N$5="A",IF(N15*N16=0,0,1-Inputs_Actuals!N94/(N15*N16)),Client_Register!$P$22)</f>
        <v>0.0566267709124853</v>
      </c>
      <c r="O17" s="63" t="n">
        <f aca="false">IF(O$5="A",IF(O15*O16=0,0,1-Inputs_Actuals!O94/(O15*O16)),Client_Register!$P$22)</f>
        <v>0.0566267709124853</v>
      </c>
      <c r="P17" s="63" t="n">
        <f aca="false">IF(P$5="A",IF(P15*P16=0,0,1-Inputs_Actuals!P94/(P15*P16)),Client_Register!$P$22)</f>
        <v>0.0566267709124853</v>
      </c>
      <c r="Q17" s="63" t="n">
        <f aca="false">IF(Q$5="A",IF(Q15*Q16=0,0,1-Inputs_Actuals!Q94/(Q15*Q16)),Client_Register!$P$22)</f>
        <v>0.0566267709124853</v>
      </c>
      <c r="R17" s="63" t="n">
        <f aca="false">IF(R$5="A",IF(R15*R16=0,0,1-Inputs_Actuals!R94/(R15*R16)),Client_Register!$P$22)</f>
        <v>0.0566267709124853</v>
      </c>
      <c r="S17" s="63" t="n">
        <f aca="false">IF(S$5="A",IF(S15*S16=0,0,1-Inputs_Actuals!S94/(S15*S16)),Client_Register!$P$22)</f>
        <v>0.0566267709124853</v>
      </c>
      <c r="T17" s="63" t="n">
        <f aca="false">IF(T$5="A",IF(T15*T16=0,0,1-Inputs_Actuals!T94/(T15*T16)),Client_Register!$P$22)</f>
        <v>0.0566267709124853</v>
      </c>
      <c r="U17" s="63" t="n">
        <f aca="false">IF(U$5="A",IF(U15*U16=0,0,1-Inputs_Actuals!U94/(U15*U16)),Client_Register!$P$22)</f>
        <v>0.0566267709124853</v>
      </c>
      <c r="V17" s="63" t="n">
        <f aca="false">IF(V$5="A",IF(V15*V16=0,0,1-Inputs_Actuals!V94/(V15*V16)),Client_Register!$P$22)</f>
        <v>0.0566267709124853</v>
      </c>
      <c r="W17" s="63" t="n">
        <f aca="false">IF(W$5="A",IF(W15*W16=0,0,1-Inputs_Actuals!W94/(W15*W16)),Client_Register!$P$22)</f>
        <v>0.0566267709124853</v>
      </c>
      <c r="X17" s="63" t="n">
        <f aca="false">IF(X$5="A",IF(X15*X16=0,0,1-Inputs_Actuals!X94/(X15*X16)),Client_Register!$P$22)</f>
        <v>0.0566267709124853</v>
      </c>
      <c r="Y17" s="63" t="n">
        <f aca="false">IF(Y$5="A",IF(Y15*Y16=0,0,1-Inputs_Actuals!Y94/(Y15*Y16)),Client_Register!$P$22)</f>
        <v>0.0566267709124853</v>
      </c>
      <c r="Z17" s="63" t="n">
        <f aca="false">IF(Z$5="A",IF(Z15*Z16=0,0,1-Inputs_Actuals!Z94/(Z15*Z16)),Client_Register!$P$22)</f>
        <v>0.0566267709124853</v>
      </c>
      <c r="AA17" s="63" t="n">
        <f aca="false">IF(AA$5="A",IF(AA15*AA16=0,0,1-Inputs_Actuals!AA94/(AA15*AA16)),Client_Register!$P$22)</f>
        <v>0.0566267709124853</v>
      </c>
      <c r="AB17" s="63" t="n">
        <f aca="false">IF(AB$5="A",IF(AB15*AB16=0,0,1-Inputs_Actuals!AB94/(AB15*AB16)),Client_Register!$P$22)</f>
        <v>0.0566267709124853</v>
      </c>
    </row>
    <row r="18" customFormat="false" ht="15" hidden="false" customHeight="false" outlineLevel="0" collapsed="false">
      <c r="A18" s="28" t="s">
        <v>979</v>
      </c>
      <c r="B18" s="58" t="s">
        <v>971</v>
      </c>
      <c r="C18" s="59" t="n">
        <f aca="false">SUM(E18:P18)</f>
        <v>83155.2933542618</v>
      </c>
      <c r="D18" s="59" t="n">
        <f aca="false">SUM(Q18:AB18)</f>
        <v>103840.487469287</v>
      </c>
      <c r="E18" s="60" t="n">
        <f aca="false">IF(E$5="A",Inputs_Actuals!E94,E15*E16*(1-E17))</f>
        <v>0</v>
      </c>
      <c r="F18" s="60" t="n">
        <f aca="false">IF(F$5="A",Inputs_Actuals!F94,F15*F16*(1-F17))</f>
        <v>0</v>
      </c>
      <c r="G18" s="60" t="n">
        <f aca="false">IF(G$5="A",Inputs_Actuals!G94,G15*G16*(1-G17))</f>
        <v>8708.37</v>
      </c>
      <c r="H18" s="60" t="n">
        <f aca="false">IF(H$5="A",Inputs_Actuals!H94,H15*H16*(1-H17))</f>
        <v>8391.83</v>
      </c>
      <c r="I18" s="60" t="n">
        <f aca="false">IF(I$5="A",Inputs_Actuals!I94,I15*I16*(1-I17))</f>
        <v>9298.68</v>
      </c>
      <c r="J18" s="60" t="n">
        <f aca="false">IF(J$5="A",Inputs_Actuals!J94,J15*J16*(1-J17))</f>
        <v>8274.35</v>
      </c>
      <c r="K18" s="60" t="n">
        <f aca="false">IF(K$5="A",Inputs_Actuals!K94,K15*K16*(1-K17))</f>
        <v>5927.88</v>
      </c>
      <c r="L18" s="60" t="n">
        <f aca="false">IF(L$5="A",Inputs_Actuals!L94,L15*L16*(1-L17))</f>
        <v>8314.49</v>
      </c>
      <c r="M18" s="60" t="n">
        <f aca="false">IF(M$5="A",Inputs_Actuals!M94,M15*M16*(1-M17))</f>
        <v>9076.96568787478</v>
      </c>
      <c r="N18" s="60" t="n">
        <f aca="false">IF(N$5="A",Inputs_Actuals!N94,N15*N16*(1-N17))</f>
        <v>9421.66058741433</v>
      </c>
      <c r="O18" s="60" t="n">
        <f aca="false">IF(O$5="A",Inputs_Actuals!O94,O15*O16*(1-O17))</f>
        <v>8732.27078833523</v>
      </c>
      <c r="P18" s="60" t="n">
        <f aca="false">IF(P$5="A",Inputs_Actuals!P94,P15*P16*(1-P17))</f>
        <v>7008.79629063749</v>
      </c>
      <c r="Q18" s="60" t="n">
        <f aca="false">IF(Q$5="A",Inputs_Actuals!Q94,Q15*Q16*(1-Q17))</f>
        <v>9081.56161986864</v>
      </c>
      <c r="R18" s="60" t="n">
        <f aca="false">IF(R$5="A",Inputs_Actuals!R94,R15*R16*(1-R17))</f>
        <v>8723.07892434751</v>
      </c>
      <c r="S18" s="60" t="n">
        <f aca="false">IF(S$5="A",Inputs_Actuals!S94,S15*S16*(1-S17))</f>
        <v>9440.04431538977</v>
      </c>
      <c r="T18" s="60" t="n">
        <f aca="false">IF(T$5="A",Inputs_Actuals!T94,T15*T16*(1-T17))</f>
        <v>8962.06738802826</v>
      </c>
      <c r="U18" s="60" t="n">
        <f aca="false">IF(U$5="A",Inputs_Actuals!U94,U15*U16*(1-U17))</f>
        <v>8962.06738802826</v>
      </c>
      <c r="V18" s="60" t="n">
        <f aca="false">IF(V$5="A",Inputs_Actuals!V94,V15*V16*(1-V17))</f>
        <v>8245.101996986</v>
      </c>
      <c r="W18" s="60" t="n">
        <f aca="false">IF(W$5="A",Inputs_Actuals!W94,W15*W16*(1-W17))</f>
        <v>6691.6769830611</v>
      </c>
      <c r="X18" s="60" t="n">
        <f aca="false">IF(X$5="A",Inputs_Actuals!X94,X15*X16*(1-X17))</f>
        <v>8125.60776514562</v>
      </c>
      <c r="Y18" s="60" t="n">
        <f aca="false">IF(Y$5="A",Inputs_Actuals!Y94,Y15*Y16*(1-Y17))</f>
        <v>9440.04431538977</v>
      </c>
      <c r="Z18" s="60" t="n">
        <f aca="false">IF(Z$5="A",Inputs_Actuals!Z94,Z15*Z16*(1-Z17))</f>
        <v>9798.5270109109</v>
      </c>
      <c r="AA18" s="60" t="n">
        <f aca="false">IF(AA$5="A",Inputs_Actuals!AA94,AA15*AA16*(1-AA17))</f>
        <v>9081.56161986864</v>
      </c>
      <c r="AB18" s="60" t="n">
        <f aca="false">IF(AB$5="A",Inputs_Actuals!AB94,AB15*AB16*(1-AB17))</f>
        <v>7289.14814226299</v>
      </c>
    </row>
    <row r="19" customFormat="false" ht="15" hidden="false" customHeight="false" outlineLevel="0" collapsed="false">
      <c r="A19" s="28" t="s">
        <v>980</v>
      </c>
      <c r="B19" s="58" t="s">
        <v>973</v>
      </c>
      <c r="C19" s="59" t="n">
        <f aca="false">SUM(E19:P19)</f>
        <v>76146.4970636243</v>
      </c>
      <c r="D19" s="59" t="n">
        <f aca="false">SUM(Q19:AB19)</f>
        <v>103560.135617662</v>
      </c>
      <c r="E19" s="60" t="n">
        <f aca="false">IF(E$5="A",Inputs_Actuals!E95,0)</f>
        <v>0</v>
      </c>
      <c r="F19" s="60" t="n">
        <f aca="false">IF(F$5="A",Inputs_Actuals!F95,E18)</f>
        <v>0</v>
      </c>
      <c r="G19" s="60" t="n">
        <f aca="false">IF(G$5="A",Inputs_Actuals!G95,F18)</f>
        <v>0</v>
      </c>
      <c r="H19" s="60" t="n">
        <f aca="false">IF(H$5="A",Inputs_Actuals!H95,G18)</f>
        <v>8708.37</v>
      </c>
      <c r="I19" s="60" t="n">
        <f aca="false">IF(I$5="A",Inputs_Actuals!I95,H18)</f>
        <v>8391.83</v>
      </c>
      <c r="J19" s="60" t="n">
        <f aca="false">IF(J$5="A",Inputs_Actuals!J95,I18)</f>
        <v>9298.68</v>
      </c>
      <c r="K19" s="60" t="n">
        <f aca="false">IF(K$5="A",Inputs_Actuals!K95,J18)</f>
        <v>8274.35</v>
      </c>
      <c r="L19" s="60" t="n">
        <f aca="false">IF(L$5="A",Inputs_Actuals!L95,K18)</f>
        <v>5927.88</v>
      </c>
      <c r="M19" s="60" t="n">
        <f aca="false">IF(M$5="A",Inputs_Actuals!M95,L18)</f>
        <v>8314.49</v>
      </c>
      <c r="N19" s="60" t="n">
        <f aca="false">IF(N$5="A",Inputs_Actuals!N95,M18)</f>
        <v>9076.96568787478</v>
      </c>
      <c r="O19" s="60" t="n">
        <f aca="false">IF(O$5="A",Inputs_Actuals!O95,N18)</f>
        <v>9421.66058741433</v>
      </c>
      <c r="P19" s="60" t="n">
        <f aca="false">IF(P$5="A",Inputs_Actuals!P95,O18)</f>
        <v>8732.27078833523</v>
      </c>
      <c r="Q19" s="60" t="n">
        <f aca="false">IF(Q$5="A",Inputs_Actuals!Q95,P18)</f>
        <v>7008.79629063749</v>
      </c>
      <c r="R19" s="60" t="n">
        <f aca="false">IF(R$5="A",Inputs_Actuals!R95,Q18)</f>
        <v>9081.56161986864</v>
      </c>
      <c r="S19" s="60" t="n">
        <f aca="false">IF(S$5="A",Inputs_Actuals!S95,R18)</f>
        <v>8723.07892434751</v>
      </c>
      <c r="T19" s="60" t="n">
        <f aca="false">IF(T$5="A",Inputs_Actuals!T95,S18)</f>
        <v>9440.04431538977</v>
      </c>
      <c r="U19" s="60" t="n">
        <f aca="false">IF(U$5="A",Inputs_Actuals!U95,T18)</f>
        <v>8962.06738802826</v>
      </c>
      <c r="V19" s="60" t="n">
        <f aca="false">IF(V$5="A",Inputs_Actuals!V95,U18)</f>
        <v>8962.06738802826</v>
      </c>
      <c r="W19" s="60" t="n">
        <f aca="false">IF(W$5="A",Inputs_Actuals!W95,V18)</f>
        <v>8245.101996986</v>
      </c>
      <c r="X19" s="60" t="n">
        <f aca="false">IF(X$5="A",Inputs_Actuals!X95,W18)</f>
        <v>6691.6769830611</v>
      </c>
      <c r="Y19" s="60" t="n">
        <f aca="false">IF(Y$5="A",Inputs_Actuals!Y95,X18)</f>
        <v>8125.60776514562</v>
      </c>
      <c r="Z19" s="60" t="n">
        <f aca="false">IF(Z$5="A",Inputs_Actuals!Z95,Y18)</f>
        <v>9440.04431538977</v>
      </c>
      <c r="AA19" s="60" t="n">
        <f aca="false">IF(AA$5="A",Inputs_Actuals!AA95,Z18)</f>
        <v>9798.5270109109</v>
      </c>
      <c r="AB19" s="60" t="n">
        <f aca="false">IF(AB$5="A",Inputs_Actuals!AB95,AA18)</f>
        <v>9081.56161986864</v>
      </c>
    </row>
    <row r="20" customFormat="false" ht="15" hidden="false" customHeight="false" outlineLevel="0" collapsed="false">
      <c r="A20" s="28" t="s">
        <v>981</v>
      </c>
      <c r="B20" s="58" t="s">
        <v>975</v>
      </c>
      <c r="C20" s="59" t="n">
        <f aca="false">SUM(E20:P20)</f>
        <v>98940.2405063291</v>
      </c>
      <c r="D20" s="59" t="n">
        <f aca="false">SUM(Q20:AB20)</f>
        <v>123552</v>
      </c>
      <c r="E20" s="60" t="n">
        <f aca="false">E15*Utilisation!E98</f>
        <v>0</v>
      </c>
      <c r="F20" s="60" t="n">
        <f aca="false">F15*Utilisation!F98</f>
        <v>0</v>
      </c>
      <c r="G20" s="60" t="n">
        <f aca="false">G15*Utilisation!G98</f>
        <v>10582</v>
      </c>
      <c r="H20" s="60" t="n">
        <f aca="false">H15*Utilisation!H98</f>
        <v>10065</v>
      </c>
      <c r="I20" s="60" t="n">
        <f aca="false">I15*Utilisation!I98</f>
        <v>10989</v>
      </c>
      <c r="J20" s="60" t="n">
        <f aca="false">J15*Utilisation!J98</f>
        <v>9504</v>
      </c>
      <c r="K20" s="60" t="n">
        <f aca="false">K15*Utilisation!K98</f>
        <v>7095</v>
      </c>
      <c r="L20" s="60" t="n">
        <f aca="false">L15*Utilisation!L98</f>
        <v>9966</v>
      </c>
      <c r="M20" s="60" t="n">
        <f aca="false">M15*Utilisation!M98</f>
        <v>10800</v>
      </c>
      <c r="N20" s="60" t="n">
        <f aca="false">N15*Utilisation!N98</f>
        <v>11210.1265822785</v>
      </c>
      <c r="O20" s="60" t="n">
        <f aca="false">O15*Utilisation!O98</f>
        <v>10389.8734177215</v>
      </c>
      <c r="P20" s="60" t="n">
        <f aca="false">P15*Utilisation!P98</f>
        <v>8339.24050632911</v>
      </c>
      <c r="Q20" s="60" t="n">
        <f aca="false">Q15*Utilisation!Q98</f>
        <v>10805.4683544304</v>
      </c>
      <c r="R20" s="60" t="n">
        <f aca="false">R15*Utilisation!R98</f>
        <v>10378.9367088608</v>
      </c>
      <c r="S20" s="60" t="n">
        <f aca="false">S15*Utilisation!S98</f>
        <v>11232</v>
      </c>
      <c r="T20" s="60" t="n">
        <f aca="false">T15*Utilisation!T98</f>
        <v>10663.2911392405</v>
      </c>
      <c r="U20" s="60" t="n">
        <f aca="false">U15*Utilisation!U98</f>
        <v>10663.2911392405</v>
      </c>
      <c r="V20" s="60" t="n">
        <f aca="false">V15*Utilisation!V98</f>
        <v>9810.22784810127</v>
      </c>
      <c r="W20" s="60" t="n">
        <f aca="false">W15*Utilisation!W98</f>
        <v>7961.92405063291</v>
      </c>
      <c r="X20" s="60" t="n">
        <f aca="false">X15*Utilisation!X98</f>
        <v>9668.05063291139</v>
      </c>
      <c r="Y20" s="60" t="n">
        <f aca="false">Y15*Utilisation!Y98</f>
        <v>11232</v>
      </c>
      <c r="Z20" s="60" t="n">
        <f aca="false">Z15*Utilisation!Z98</f>
        <v>11658.5316455696</v>
      </c>
      <c r="AA20" s="60" t="n">
        <f aca="false">AA15*Utilisation!AA98</f>
        <v>10805.4683544304</v>
      </c>
      <c r="AB20" s="60" t="n">
        <f aca="false">AB15*Utilisation!AB98</f>
        <v>8672.81012658228</v>
      </c>
    </row>
    <row r="21" customFormat="false" ht="15" hidden="false" customHeight="false" outlineLevel="0" collapsed="false">
      <c r="A21" s="28" t="s">
        <v>982</v>
      </c>
      <c r="B21" s="58" t="s">
        <v>965</v>
      </c>
      <c r="C21" s="66" t="n">
        <f aca="false">SUM(E21:P21)</f>
        <v>181.449942462601</v>
      </c>
      <c r="D21" s="66" t="n">
        <f aca="false">SUM(Q21:AB21)</f>
        <v>720</v>
      </c>
      <c r="E21" s="67" t="n">
        <f aca="false">IF(E$5="A",Inputs_Actuals!E96,Client_Register!$K$11*Assumptions!E$108*Assumptions!$F$119*(Assumptions!E$99&gt;=((YEAR(Client_Register!$N$11)-YEAR(Assumptions!$C$8))*12+MONTH(Client_Register!$N$11)-MONTH(Assumptions!$C$8)+1)))</f>
        <v>0</v>
      </c>
      <c r="F21" s="67" t="n">
        <f aca="false">IF(F$5="A",Inputs_Actuals!F96,Client_Register!$K$11*Assumptions!F$108*Assumptions!$F$119*(Assumptions!F$99&gt;=((YEAR(Client_Register!$N$11)-YEAR(Assumptions!$C$8))*12+MONTH(Client_Register!$N$11)-MONTH(Assumptions!$C$8)+1)))</f>
        <v>0</v>
      </c>
      <c r="G21" s="67" t="n">
        <f aca="false">IF(G$5="A",Inputs_Actuals!G96,Client_Register!$K$11*Assumptions!G$108*Assumptions!$F$119*(Assumptions!G$99&gt;=((YEAR(Client_Register!$N$11)-YEAR(Assumptions!$C$8))*12+MONTH(Client_Register!$N$11)-MONTH(Assumptions!$C$8)+1)))</f>
        <v>0</v>
      </c>
      <c r="H21" s="67" t="n">
        <f aca="false">IF(H$5="A",Inputs_Actuals!H96,Client_Register!$K$11*Assumptions!H$108*Assumptions!$F$119*(Assumptions!H$99&gt;=((YEAR(Client_Register!$N$11)-YEAR(Assumptions!$C$8))*12+MONTH(Client_Register!$N$11)-MONTH(Assumptions!$C$8)+1)))</f>
        <v>0</v>
      </c>
      <c r="I21" s="67" t="n">
        <f aca="false">IF(I$5="A",Inputs_Actuals!I96,Client_Register!$K$11*Assumptions!I$108*Assumptions!$F$119*(Assumptions!I$99&gt;=((YEAR(Client_Register!$N$11)-YEAR(Assumptions!$C$8))*12+MONTH(Client_Register!$N$11)-MONTH(Assumptions!$C$8)+1)))</f>
        <v>0</v>
      </c>
      <c r="J21" s="67" t="n">
        <f aca="false">IF(J$5="A",Inputs_Actuals!J96,Client_Register!$K$11*Assumptions!J$108*Assumptions!$F$119*(Assumptions!J$99&gt;=((YEAR(Client_Register!$N$11)-YEAR(Assumptions!$C$8))*12+MONTH(Client_Register!$N$11)-MONTH(Assumptions!$C$8)+1)))</f>
        <v>0</v>
      </c>
      <c r="K21" s="67" t="n">
        <f aca="false">IF(K$5="A",Inputs_Actuals!K96,Client_Register!$K$11*Assumptions!K$108*Assumptions!$F$119*(Assumptions!K$99&gt;=((YEAR(Client_Register!$N$11)-YEAR(Assumptions!$C$8))*12+MONTH(Client_Register!$N$11)-MONTH(Assumptions!$C$8)+1)))</f>
        <v>0</v>
      </c>
      <c r="L21" s="67" t="n">
        <f aca="false">IF(L$5="A",Inputs_Actuals!L96,Client_Register!$K$11*Assumptions!L$108*Assumptions!$F$119*(Assumptions!L$99&gt;=((YEAR(Client_Register!$N$11)-YEAR(Assumptions!$C$8))*12+MONTH(Client_Register!$N$11)-MONTH(Assumptions!$C$8)+1)))</f>
        <v>0</v>
      </c>
      <c r="M21" s="67" t="n">
        <f aca="false">IF(M$5="A",Inputs_Actuals!M96,Client_Register!$K$11*Assumptions!M$108*Assumptions!$F$119*(Assumptions!M$99&gt;=((YEAR(Client_Register!$N$11)-YEAR(Assumptions!$C$8))*12+MONTH(Client_Register!$N$11)-MONTH(Assumptions!$C$8)+1)))</f>
        <v>0</v>
      </c>
      <c r="N21" s="67" t="n">
        <f aca="false">IF(N$5="A",Inputs_Actuals!N96,Client_Register!$K$11*Assumptions!N$108*Assumptions!$F$119*(Assumptions!N$99&gt;=((YEAR(Client_Register!$N$11)-YEAR(Assumptions!$C$8))*12+MONTH(Client_Register!$N$11)-MONTH(Assumptions!$C$8)+1)))</f>
        <v>67.9401611047181</v>
      </c>
      <c r="O21" s="67" t="n">
        <f aca="false">IF(O$5="A",Inputs_Actuals!O96,Client_Register!$K$11*Assumptions!O$108*Assumptions!$F$119*(Assumptions!O$99&gt;=((YEAR(Client_Register!$N$11)-YEAR(Assumptions!$C$8))*12+MONTH(Client_Register!$N$11)-MONTH(Assumptions!$C$8)+1)))</f>
        <v>62.9689298043728</v>
      </c>
      <c r="P21" s="67" t="n">
        <f aca="false">IF(P$5="A",Inputs_Actuals!P96,Client_Register!$K$11*Assumptions!P$108*Assumptions!$F$119*(Assumptions!P$99&gt;=((YEAR(Client_Register!$N$11)-YEAR(Assumptions!$C$8))*12+MONTH(Client_Register!$N$11)-MONTH(Assumptions!$C$8)+1)))</f>
        <v>50.5408515535098</v>
      </c>
      <c r="Q21" s="67" t="n">
        <f aca="false">IF(Q$5="A",Inputs_Actuals!Q96,Client_Register!$K$11*Assumptions!Q$108*Assumptions!$F$119*(Assumptions!Q$99&gt;=((YEAR(Client_Register!$N$11)-YEAR(Assumptions!$C$8))*12+MONTH(Client_Register!$N$11)-MONTH(Assumptions!$C$8)+1)))</f>
        <v>62.9689298043728</v>
      </c>
      <c r="R21" s="67" t="n">
        <f aca="false">IF(R$5="A",Inputs_Actuals!R96,Client_Register!$K$11*Assumptions!R$108*Assumptions!$F$119*(Assumptions!R$99&gt;=((YEAR(Client_Register!$N$11)-YEAR(Assumptions!$C$8))*12+MONTH(Client_Register!$N$11)-MONTH(Assumptions!$C$8)+1)))</f>
        <v>60.4833141542002</v>
      </c>
      <c r="S21" s="67" t="n">
        <f aca="false">IF(S$5="A",Inputs_Actuals!S96,Client_Register!$K$11*Assumptions!S$108*Assumptions!$F$119*(Assumptions!S$99&gt;=((YEAR(Client_Register!$N$11)-YEAR(Assumptions!$C$8))*12+MONTH(Client_Register!$N$11)-MONTH(Assumptions!$C$8)+1)))</f>
        <v>65.4545454545455</v>
      </c>
      <c r="T21" s="67" t="n">
        <f aca="false">IF(T$5="A",Inputs_Actuals!T96,Client_Register!$K$11*Assumptions!T$108*Assumptions!$F$119*(Assumptions!T$99&gt;=((YEAR(Client_Register!$N$11)-YEAR(Assumptions!$C$8))*12+MONTH(Client_Register!$N$11)-MONTH(Assumptions!$C$8)+1)))</f>
        <v>62.1403912543153</v>
      </c>
      <c r="U21" s="67" t="n">
        <f aca="false">IF(U$5="A",Inputs_Actuals!U96,Client_Register!$K$11*Assumptions!U$108*Assumptions!$F$119*(Assumptions!U$99&gt;=((YEAR(Client_Register!$N$11)-YEAR(Assumptions!$C$8))*12+MONTH(Client_Register!$N$11)-MONTH(Assumptions!$C$8)+1)))</f>
        <v>62.1403912543153</v>
      </c>
      <c r="V21" s="67" t="n">
        <f aca="false">IF(V$5="A",Inputs_Actuals!V96,Client_Register!$K$11*Assumptions!V$108*Assumptions!$F$119*(Assumptions!V$99&gt;=((YEAR(Client_Register!$N$11)-YEAR(Assumptions!$C$8))*12+MONTH(Client_Register!$N$11)-MONTH(Assumptions!$C$8)+1)))</f>
        <v>57.1691599539701</v>
      </c>
      <c r="W21" s="67" t="n">
        <f aca="false">IF(W$5="A",Inputs_Actuals!W96,Client_Register!$K$11*Assumptions!W$108*Assumptions!$F$119*(Assumptions!W$99&gt;=((YEAR(Client_Register!$N$11)-YEAR(Assumptions!$C$8))*12+MONTH(Client_Register!$N$11)-MONTH(Assumptions!$C$8)+1)))</f>
        <v>46.3981588032221</v>
      </c>
      <c r="X21" s="67" t="n">
        <f aca="false">IF(X$5="A",Inputs_Actuals!X96,Client_Register!$K$11*Assumptions!X$108*Assumptions!$F$119*(Assumptions!X$99&gt;=((YEAR(Client_Register!$N$11)-YEAR(Assumptions!$C$8))*12+MONTH(Client_Register!$N$11)-MONTH(Assumptions!$C$8)+1)))</f>
        <v>56.3406214039125</v>
      </c>
      <c r="Y21" s="67" t="n">
        <f aca="false">IF(Y$5="A",Inputs_Actuals!Y96,Client_Register!$K$11*Assumptions!Y$108*Assumptions!$F$119*(Assumptions!Y$99&gt;=((YEAR(Client_Register!$N$11)-YEAR(Assumptions!$C$8))*12+MONTH(Client_Register!$N$11)-MONTH(Assumptions!$C$8)+1)))</f>
        <v>65.4545454545455</v>
      </c>
      <c r="Z21" s="67" t="n">
        <f aca="false">IF(Z$5="A",Inputs_Actuals!Z96,Client_Register!$K$11*Assumptions!Z$108*Assumptions!$F$119*(Assumptions!Z$99&gt;=((YEAR(Client_Register!$N$11)-YEAR(Assumptions!$C$8))*12+MONTH(Client_Register!$N$11)-MONTH(Assumptions!$C$8)+1)))</f>
        <v>67.9401611047181</v>
      </c>
      <c r="AA21" s="67" t="n">
        <f aca="false">IF(AA$5="A",Inputs_Actuals!AA96,Client_Register!$K$11*Assumptions!AA$108*Assumptions!$F$119*(Assumptions!AA$99&gt;=((YEAR(Client_Register!$N$11)-YEAR(Assumptions!$C$8))*12+MONTH(Client_Register!$N$11)-MONTH(Assumptions!$C$8)+1)))</f>
        <v>62.9689298043728</v>
      </c>
      <c r="AB21" s="67" t="n">
        <f aca="false">IF(AB$5="A",Inputs_Actuals!AB96,Client_Register!$K$11*Assumptions!AB$108*Assumptions!$F$119*(Assumptions!AB$99&gt;=((YEAR(Client_Register!$N$11)-YEAR(Assumptions!$C$8))*12+MONTH(Client_Register!$N$11)-MONTH(Assumptions!$C$8)+1)))</f>
        <v>50.5408515535098</v>
      </c>
    </row>
    <row r="22" customFormat="false" ht="15" hidden="false" customHeight="false" outlineLevel="0" collapsed="false">
      <c r="A22" s="28" t="s">
        <v>983</v>
      </c>
      <c r="B22" s="58" t="s">
        <v>967</v>
      </c>
      <c r="C22" s="64" t="n">
        <f aca="false">AVERAGE(E22:P22)</f>
        <v>85</v>
      </c>
      <c r="D22" s="64" t="n">
        <f aca="false">AVERAGE(Q22:AB22)</f>
        <v>88.4</v>
      </c>
      <c r="E22" s="65" t="n">
        <f aca="false">Client_Register!$L$11*IF(Assumptions!E$101&gt;YEAR(Assumptions!$C$8),1+Assumptions!$F$122,1)</f>
        <v>85</v>
      </c>
      <c r="F22" s="65" t="n">
        <f aca="false">Client_Register!$L$11*IF(Assumptions!F$101&gt;YEAR(Assumptions!$C$8),1+Assumptions!$F$122,1)</f>
        <v>85</v>
      </c>
      <c r="G22" s="65" t="n">
        <f aca="false">Client_Register!$L$11*IF(Assumptions!G$101&gt;YEAR(Assumptions!$C$8),1+Assumptions!$F$122,1)</f>
        <v>85</v>
      </c>
      <c r="H22" s="65" t="n">
        <f aca="false">Client_Register!$L$11*IF(Assumptions!H$101&gt;YEAR(Assumptions!$C$8),1+Assumptions!$F$122,1)</f>
        <v>85</v>
      </c>
      <c r="I22" s="65" t="n">
        <f aca="false">Client_Register!$L$11*IF(Assumptions!I$101&gt;YEAR(Assumptions!$C$8),1+Assumptions!$F$122,1)</f>
        <v>85</v>
      </c>
      <c r="J22" s="65" t="n">
        <f aca="false">Client_Register!$L$11*IF(Assumptions!J$101&gt;YEAR(Assumptions!$C$8),1+Assumptions!$F$122,1)</f>
        <v>85</v>
      </c>
      <c r="K22" s="65" t="n">
        <f aca="false">Client_Register!$L$11*IF(Assumptions!K$101&gt;YEAR(Assumptions!$C$8),1+Assumptions!$F$122,1)</f>
        <v>85</v>
      </c>
      <c r="L22" s="65" t="n">
        <f aca="false">Client_Register!$L$11*IF(Assumptions!L$101&gt;YEAR(Assumptions!$C$8),1+Assumptions!$F$122,1)</f>
        <v>85</v>
      </c>
      <c r="M22" s="65" t="n">
        <f aca="false">Client_Register!$L$11*IF(Assumptions!M$101&gt;YEAR(Assumptions!$C$8),1+Assumptions!$F$122,1)</f>
        <v>85</v>
      </c>
      <c r="N22" s="65" t="n">
        <f aca="false">Client_Register!$L$11*IF(Assumptions!N$101&gt;YEAR(Assumptions!$C$8),1+Assumptions!$F$122,1)</f>
        <v>85</v>
      </c>
      <c r="O22" s="65" t="n">
        <f aca="false">Client_Register!$L$11*IF(Assumptions!O$101&gt;YEAR(Assumptions!$C$8),1+Assumptions!$F$122,1)</f>
        <v>85</v>
      </c>
      <c r="P22" s="65" t="n">
        <f aca="false">Client_Register!$L$11*IF(Assumptions!P$101&gt;YEAR(Assumptions!$C$8),1+Assumptions!$F$122,1)</f>
        <v>85</v>
      </c>
      <c r="Q22" s="65" t="n">
        <f aca="false">Client_Register!$L$11*IF(Assumptions!Q$101&gt;YEAR(Assumptions!$C$8),1+Assumptions!$F$122,1)</f>
        <v>88.4</v>
      </c>
      <c r="R22" s="65" t="n">
        <f aca="false">Client_Register!$L$11*IF(Assumptions!R$101&gt;YEAR(Assumptions!$C$8),1+Assumptions!$F$122,1)</f>
        <v>88.4</v>
      </c>
      <c r="S22" s="65" t="n">
        <f aca="false">Client_Register!$L$11*IF(Assumptions!S$101&gt;YEAR(Assumptions!$C$8),1+Assumptions!$F$122,1)</f>
        <v>88.4</v>
      </c>
      <c r="T22" s="65" t="n">
        <f aca="false">Client_Register!$L$11*IF(Assumptions!T$101&gt;YEAR(Assumptions!$C$8),1+Assumptions!$F$122,1)</f>
        <v>88.4</v>
      </c>
      <c r="U22" s="65" t="n">
        <f aca="false">Client_Register!$L$11*IF(Assumptions!U$101&gt;YEAR(Assumptions!$C$8),1+Assumptions!$F$122,1)</f>
        <v>88.4</v>
      </c>
      <c r="V22" s="65" t="n">
        <f aca="false">Client_Register!$L$11*IF(Assumptions!V$101&gt;YEAR(Assumptions!$C$8),1+Assumptions!$F$122,1)</f>
        <v>88.4</v>
      </c>
      <c r="W22" s="65" t="n">
        <f aca="false">Client_Register!$L$11*IF(Assumptions!W$101&gt;YEAR(Assumptions!$C$8),1+Assumptions!$F$122,1)</f>
        <v>88.4</v>
      </c>
      <c r="X22" s="65" t="n">
        <f aca="false">Client_Register!$L$11*IF(Assumptions!X$101&gt;YEAR(Assumptions!$C$8),1+Assumptions!$F$122,1)</f>
        <v>88.4</v>
      </c>
      <c r="Y22" s="65" t="n">
        <f aca="false">Client_Register!$L$11*IF(Assumptions!Y$101&gt;YEAR(Assumptions!$C$8),1+Assumptions!$F$122,1)</f>
        <v>88.4</v>
      </c>
      <c r="Z22" s="65" t="n">
        <f aca="false">Client_Register!$L$11*IF(Assumptions!Z$101&gt;YEAR(Assumptions!$C$8),1+Assumptions!$F$122,1)</f>
        <v>88.4</v>
      </c>
      <c r="AA22" s="65" t="n">
        <f aca="false">Client_Register!$L$11*IF(Assumptions!AA$101&gt;YEAR(Assumptions!$C$8),1+Assumptions!$F$122,1)</f>
        <v>88.4</v>
      </c>
      <c r="AB22" s="65" t="n">
        <f aca="false">Client_Register!$L$11*IF(Assumptions!AB$101&gt;YEAR(Assumptions!$C$8),1+Assumptions!$F$122,1)</f>
        <v>88.4</v>
      </c>
    </row>
    <row r="23" customFormat="false" ht="15" hidden="false" customHeight="false" outlineLevel="0" collapsed="false">
      <c r="A23" s="28" t="s">
        <v>984</v>
      </c>
      <c r="B23" s="58" t="s">
        <v>969</v>
      </c>
      <c r="C23" s="61" t="n">
        <f aca="false">AVERAGE(E23:P23)</f>
        <v>0.0166666666666667</v>
      </c>
      <c r="D23" s="61" t="n">
        <f aca="false">AVERAGE(Q23:AB23)</f>
        <v>0.05</v>
      </c>
      <c r="E23" s="63" t="n">
        <f aca="false">IF(E$5="A",IF(E21*E22=0,0,1-Inputs_Actuals!E97/(E21*E22)),Client_Register!$P$11)</f>
        <v>0</v>
      </c>
      <c r="F23" s="63" t="n">
        <f aca="false">IF(F$5="A",IF(F21*F22=0,0,1-Inputs_Actuals!F97/(F21*F22)),Client_Register!$P$11)</f>
        <v>0</v>
      </c>
      <c r="G23" s="63" t="n">
        <f aca="false">IF(G$5="A",IF(G21*G22=0,0,1-Inputs_Actuals!G97/(G21*G22)),Client_Register!$P$11)</f>
        <v>0</v>
      </c>
      <c r="H23" s="63" t="n">
        <f aca="false">IF(H$5="A",IF(H21*H22=0,0,1-Inputs_Actuals!H97/(H21*H22)),Client_Register!$P$11)</f>
        <v>0</v>
      </c>
      <c r="I23" s="63" t="n">
        <f aca="false">IF(I$5="A",IF(I21*I22=0,0,1-Inputs_Actuals!I97/(I21*I22)),Client_Register!$P$11)</f>
        <v>0</v>
      </c>
      <c r="J23" s="63" t="n">
        <f aca="false">IF(J$5="A",IF(J21*J22=0,0,1-Inputs_Actuals!J97/(J21*J22)),Client_Register!$P$11)</f>
        <v>0</v>
      </c>
      <c r="K23" s="63" t="n">
        <f aca="false">IF(K$5="A",IF(K21*K22=0,0,1-Inputs_Actuals!K97/(K21*K22)),Client_Register!$P$11)</f>
        <v>0</v>
      </c>
      <c r="L23" s="63" t="n">
        <f aca="false">IF(L$5="A",IF(L21*L22=0,0,1-Inputs_Actuals!L97/(L21*L22)),Client_Register!$P$11)</f>
        <v>0</v>
      </c>
      <c r="M23" s="63" t="n">
        <f aca="false">IF(M$5="A",IF(M21*M22=0,0,1-Inputs_Actuals!M97/(M21*M22)),Client_Register!$P$11)</f>
        <v>0.05</v>
      </c>
      <c r="N23" s="63" t="n">
        <f aca="false">IF(N$5="A",IF(N21*N22=0,0,1-Inputs_Actuals!N97/(N21*N22)),Client_Register!$P$11)</f>
        <v>0.05</v>
      </c>
      <c r="O23" s="63" t="n">
        <f aca="false">IF(O$5="A",IF(O21*O22=0,0,1-Inputs_Actuals!O97/(O21*O22)),Client_Register!$P$11)</f>
        <v>0.05</v>
      </c>
      <c r="P23" s="63" t="n">
        <f aca="false">IF(P$5="A",IF(P21*P22=0,0,1-Inputs_Actuals!P97/(P21*P22)),Client_Register!$P$11)</f>
        <v>0.05</v>
      </c>
      <c r="Q23" s="63" t="n">
        <f aca="false">IF(Q$5="A",IF(Q21*Q22=0,0,1-Inputs_Actuals!Q97/(Q21*Q22)),Client_Register!$P$11)</f>
        <v>0.05</v>
      </c>
      <c r="R23" s="63" t="n">
        <f aca="false">IF(R$5="A",IF(R21*R22=0,0,1-Inputs_Actuals!R97/(R21*R22)),Client_Register!$P$11)</f>
        <v>0.05</v>
      </c>
      <c r="S23" s="63" t="n">
        <f aca="false">IF(S$5="A",IF(S21*S22=0,0,1-Inputs_Actuals!S97/(S21*S22)),Client_Register!$P$11)</f>
        <v>0.05</v>
      </c>
      <c r="T23" s="63" t="n">
        <f aca="false">IF(T$5="A",IF(T21*T22=0,0,1-Inputs_Actuals!T97/(T21*T22)),Client_Register!$P$11)</f>
        <v>0.05</v>
      </c>
      <c r="U23" s="63" t="n">
        <f aca="false">IF(U$5="A",IF(U21*U22=0,0,1-Inputs_Actuals!U97/(U21*U22)),Client_Register!$P$11)</f>
        <v>0.05</v>
      </c>
      <c r="V23" s="63" t="n">
        <f aca="false">IF(V$5="A",IF(V21*V22=0,0,1-Inputs_Actuals!V97/(V21*V22)),Client_Register!$P$11)</f>
        <v>0.05</v>
      </c>
      <c r="W23" s="63" t="n">
        <f aca="false">IF(W$5="A",IF(W21*W22=0,0,1-Inputs_Actuals!W97/(W21*W22)),Client_Register!$P$11)</f>
        <v>0.05</v>
      </c>
      <c r="X23" s="63" t="n">
        <f aca="false">IF(X$5="A",IF(X21*X22=0,0,1-Inputs_Actuals!X97/(X21*X22)),Client_Register!$P$11)</f>
        <v>0.05</v>
      </c>
      <c r="Y23" s="63" t="n">
        <f aca="false">IF(Y$5="A",IF(Y21*Y22=0,0,1-Inputs_Actuals!Y97/(Y21*Y22)),Client_Register!$P$11)</f>
        <v>0.05</v>
      </c>
      <c r="Z23" s="63" t="n">
        <f aca="false">IF(Z$5="A",IF(Z21*Z22=0,0,1-Inputs_Actuals!Z97/(Z21*Z22)),Client_Register!$P$11)</f>
        <v>0.05</v>
      </c>
      <c r="AA23" s="63" t="n">
        <f aca="false">IF(AA$5="A",IF(AA21*AA22=0,0,1-Inputs_Actuals!AA97/(AA21*AA22)),Client_Register!$P$11)</f>
        <v>0.05</v>
      </c>
      <c r="AB23" s="63" t="n">
        <f aca="false">IF(AB$5="A",IF(AB21*AB22=0,0,1-Inputs_Actuals!AB97/(AB21*AB22)),Client_Register!$P$11)</f>
        <v>0.05</v>
      </c>
    </row>
    <row r="24" customFormat="false" ht="15" hidden="false" customHeight="false" outlineLevel="0" collapsed="false">
      <c r="A24" s="28" t="s">
        <v>985</v>
      </c>
      <c r="B24" s="58" t="s">
        <v>971</v>
      </c>
      <c r="C24" s="59" t="n">
        <f aca="false">SUM(E24:P24)</f>
        <v>14652.082853855</v>
      </c>
      <c r="D24" s="59" t="n">
        <f aca="false">SUM(Q24:AB24)</f>
        <v>60465.6</v>
      </c>
      <c r="E24" s="60" t="n">
        <f aca="false">IF(E$5="A",Inputs_Actuals!E97,E21*E22*(1-E23))</f>
        <v>0</v>
      </c>
      <c r="F24" s="60" t="n">
        <f aca="false">IF(F$5="A",Inputs_Actuals!F97,F21*F22*(1-F23))</f>
        <v>0</v>
      </c>
      <c r="G24" s="60" t="n">
        <f aca="false">IF(G$5="A",Inputs_Actuals!G97,G21*G22*(1-G23))</f>
        <v>0</v>
      </c>
      <c r="H24" s="60" t="n">
        <f aca="false">IF(H$5="A",Inputs_Actuals!H97,H21*H22*(1-H23))</f>
        <v>0</v>
      </c>
      <c r="I24" s="60" t="n">
        <f aca="false">IF(I$5="A",Inputs_Actuals!I97,I21*I22*(1-I23))</f>
        <v>0</v>
      </c>
      <c r="J24" s="60" t="n">
        <f aca="false">IF(J$5="A",Inputs_Actuals!J97,J21*J22*(1-J23))</f>
        <v>0</v>
      </c>
      <c r="K24" s="60" t="n">
        <f aca="false">IF(K$5="A",Inputs_Actuals!K97,K21*K22*(1-K23))</f>
        <v>0</v>
      </c>
      <c r="L24" s="60" t="n">
        <f aca="false">IF(L$5="A",Inputs_Actuals!L97,L21*L22*(1-L23))</f>
        <v>0</v>
      </c>
      <c r="M24" s="60" t="n">
        <f aca="false">IF(M$5="A",Inputs_Actuals!M97,M21*M22*(1-M23))</f>
        <v>0</v>
      </c>
      <c r="N24" s="60" t="n">
        <f aca="false">IF(N$5="A",Inputs_Actuals!N97,N21*N22*(1-N23))</f>
        <v>5486.16800920598</v>
      </c>
      <c r="O24" s="60" t="n">
        <f aca="false">IF(O$5="A",Inputs_Actuals!O97,O21*O22*(1-O23))</f>
        <v>5084.74108170311</v>
      </c>
      <c r="P24" s="60" t="n">
        <f aca="false">IF(P$5="A",Inputs_Actuals!P97,P21*P22*(1-P23))</f>
        <v>4081.17376294591</v>
      </c>
      <c r="Q24" s="60" t="n">
        <f aca="false">IF(Q$5="A",Inputs_Actuals!Q97,Q21*Q22*(1-Q23))</f>
        <v>5288.13072497123</v>
      </c>
      <c r="R24" s="60" t="n">
        <f aca="false">IF(R$5="A",Inputs_Actuals!R97,R21*R22*(1-R23))</f>
        <v>5079.38872266973</v>
      </c>
      <c r="S24" s="60" t="n">
        <f aca="false">IF(S$5="A",Inputs_Actuals!S97,S21*S22*(1-S23))</f>
        <v>5496.87272727273</v>
      </c>
      <c r="T24" s="60" t="n">
        <f aca="false">IF(T$5="A",Inputs_Actuals!T97,T21*T22*(1-T23))</f>
        <v>5218.5500575374</v>
      </c>
      <c r="U24" s="60" t="n">
        <f aca="false">IF(U$5="A",Inputs_Actuals!U97,U21*U22*(1-U23))</f>
        <v>5218.5500575374</v>
      </c>
      <c r="V24" s="60" t="n">
        <f aca="false">IF(V$5="A",Inputs_Actuals!V97,V21*V22*(1-V23))</f>
        <v>4801.06605293441</v>
      </c>
      <c r="W24" s="60" t="n">
        <f aca="false">IF(W$5="A",Inputs_Actuals!W97,W21*W22*(1-W23))</f>
        <v>3896.51737629459</v>
      </c>
      <c r="X24" s="60" t="n">
        <f aca="false">IF(X$5="A",Inputs_Actuals!X97,X21*X22*(1-X23))</f>
        <v>4731.48538550057</v>
      </c>
      <c r="Y24" s="60" t="n">
        <f aca="false">IF(Y$5="A",Inputs_Actuals!Y97,Y21*Y22*(1-Y23))</f>
        <v>5496.87272727273</v>
      </c>
      <c r="Z24" s="60" t="n">
        <f aca="false">IF(Z$5="A",Inputs_Actuals!Z97,Z21*Z22*(1-Z23))</f>
        <v>5705.61472957422</v>
      </c>
      <c r="AA24" s="60" t="n">
        <f aca="false">IF(AA$5="A",Inputs_Actuals!AA97,AA21*AA22*(1-AA23))</f>
        <v>5288.13072497123</v>
      </c>
      <c r="AB24" s="60" t="n">
        <f aca="false">IF(AB$5="A",Inputs_Actuals!AB97,AB21*AB22*(1-AB23))</f>
        <v>4244.42071346375</v>
      </c>
    </row>
    <row r="25" customFormat="false" ht="15" hidden="false" customHeight="false" outlineLevel="0" collapsed="false">
      <c r="A25" s="28" t="s">
        <v>986</v>
      </c>
      <c r="B25" s="58" t="s">
        <v>973</v>
      </c>
      <c r="C25" s="59" t="n">
        <f aca="false">SUM(E25:P25)</f>
        <v>10570.9090909091</v>
      </c>
      <c r="D25" s="59" t="n">
        <f aca="false">SUM(Q25:AB25)</f>
        <v>60302.3530494822</v>
      </c>
      <c r="E25" s="60" t="n">
        <f aca="false">IF(E$5="A",Inputs_Actuals!E98,0)</f>
        <v>0</v>
      </c>
      <c r="F25" s="60" t="n">
        <f aca="false">IF(F$5="A",Inputs_Actuals!F98,E24)</f>
        <v>0</v>
      </c>
      <c r="G25" s="60" t="n">
        <f aca="false">IF(G$5="A",Inputs_Actuals!G98,F24)</f>
        <v>0</v>
      </c>
      <c r="H25" s="60" t="n">
        <f aca="false">IF(H$5="A",Inputs_Actuals!H98,G24)</f>
        <v>0</v>
      </c>
      <c r="I25" s="60" t="n">
        <f aca="false">IF(I$5="A",Inputs_Actuals!I98,H24)</f>
        <v>0</v>
      </c>
      <c r="J25" s="60" t="n">
        <f aca="false">IF(J$5="A",Inputs_Actuals!J98,I24)</f>
        <v>0</v>
      </c>
      <c r="K25" s="60" t="n">
        <f aca="false">IF(K$5="A",Inputs_Actuals!K98,J24)</f>
        <v>0</v>
      </c>
      <c r="L25" s="60" t="n">
        <f aca="false">IF(L$5="A",Inputs_Actuals!L98,K24)</f>
        <v>0</v>
      </c>
      <c r="M25" s="60" t="n">
        <f aca="false">IF(M$5="A",Inputs_Actuals!M98,L24)</f>
        <v>0</v>
      </c>
      <c r="N25" s="60" t="n">
        <f aca="false">IF(N$5="A",Inputs_Actuals!N98,M24)</f>
        <v>0</v>
      </c>
      <c r="O25" s="60" t="n">
        <f aca="false">IF(O$5="A",Inputs_Actuals!O98,N24)</f>
        <v>5486.16800920598</v>
      </c>
      <c r="P25" s="60" t="n">
        <f aca="false">IF(P$5="A",Inputs_Actuals!P98,O24)</f>
        <v>5084.74108170311</v>
      </c>
      <c r="Q25" s="60" t="n">
        <f aca="false">IF(Q$5="A",Inputs_Actuals!Q98,P24)</f>
        <v>4081.17376294591</v>
      </c>
      <c r="R25" s="60" t="n">
        <f aca="false">IF(R$5="A",Inputs_Actuals!R98,Q24)</f>
        <v>5288.13072497123</v>
      </c>
      <c r="S25" s="60" t="n">
        <f aca="false">IF(S$5="A",Inputs_Actuals!S98,R24)</f>
        <v>5079.38872266973</v>
      </c>
      <c r="T25" s="60" t="n">
        <f aca="false">IF(T$5="A",Inputs_Actuals!T98,S24)</f>
        <v>5496.87272727273</v>
      </c>
      <c r="U25" s="60" t="n">
        <f aca="false">IF(U$5="A",Inputs_Actuals!U98,T24)</f>
        <v>5218.5500575374</v>
      </c>
      <c r="V25" s="60" t="n">
        <f aca="false">IF(V$5="A",Inputs_Actuals!V98,U24)</f>
        <v>5218.5500575374</v>
      </c>
      <c r="W25" s="60" t="n">
        <f aca="false">IF(W$5="A",Inputs_Actuals!W98,V24)</f>
        <v>4801.06605293441</v>
      </c>
      <c r="X25" s="60" t="n">
        <f aca="false">IF(X$5="A",Inputs_Actuals!X98,W24)</f>
        <v>3896.51737629459</v>
      </c>
      <c r="Y25" s="60" t="n">
        <f aca="false">IF(Y$5="A",Inputs_Actuals!Y98,X24)</f>
        <v>4731.48538550057</v>
      </c>
      <c r="Z25" s="60" t="n">
        <f aca="false">IF(Z$5="A",Inputs_Actuals!Z98,Y24)</f>
        <v>5496.87272727273</v>
      </c>
      <c r="AA25" s="60" t="n">
        <f aca="false">IF(AA$5="A",Inputs_Actuals!AA98,Z24)</f>
        <v>5705.61472957422</v>
      </c>
      <c r="AB25" s="60" t="n">
        <f aca="false">IF(AB$5="A",Inputs_Actuals!AB98,AA24)</f>
        <v>5288.13072497123</v>
      </c>
    </row>
    <row r="26" customFormat="false" ht="15" hidden="false" customHeight="false" outlineLevel="0" collapsed="false">
      <c r="A26" s="28" t="s">
        <v>987</v>
      </c>
      <c r="B26" s="58" t="s">
        <v>975</v>
      </c>
      <c r="C26" s="59" t="n">
        <f aca="false">SUM(E26:P26)</f>
        <v>19959.4936708861</v>
      </c>
      <c r="D26" s="59" t="n">
        <f aca="false">SUM(Q26:AB26)</f>
        <v>82368</v>
      </c>
      <c r="E26" s="60" t="n">
        <f aca="false">E21*Utilisation!E98</f>
        <v>0</v>
      </c>
      <c r="F26" s="60" t="n">
        <f aca="false">F21*Utilisation!F98</f>
        <v>0</v>
      </c>
      <c r="G26" s="60" t="n">
        <f aca="false">G21*Utilisation!G98</f>
        <v>0</v>
      </c>
      <c r="H26" s="60" t="n">
        <f aca="false">H21*Utilisation!H98</f>
        <v>0</v>
      </c>
      <c r="I26" s="60" t="n">
        <f aca="false">I21*Utilisation!I98</f>
        <v>0</v>
      </c>
      <c r="J26" s="60" t="n">
        <f aca="false">J21*Utilisation!J98</f>
        <v>0</v>
      </c>
      <c r="K26" s="60" t="n">
        <f aca="false">K21*Utilisation!K98</f>
        <v>0</v>
      </c>
      <c r="L26" s="60" t="n">
        <f aca="false">L21*Utilisation!L98</f>
        <v>0</v>
      </c>
      <c r="M26" s="60" t="n">
        <f aca="false">M21*Utilisation!M98</f>
        <v>0</v>
      </c>
      <c r="N26" s="60" t="n">
        <f aca="false">N21*Utilisation!N98</f>
        <v>7473.41772151899</v>
      </c>
      <c r="O26" s="60" t="n">
        <f aca="false">O21*Utilisation!O98</f>
        <v>6926.58227848101</v>
      </c>
      <c r="P26" s="60" t="n">
        <f aca="false">P21*Utilisation!P98</f>
        <v>5559.49367088608</v>
      </c>
      <c r="Q26" s="60" t="n">
        <f aca="false">Q21*Utilisation!Q98</f>
        <v>7203.64556962025</v>
      </c>
      <c r="R26" s="60" t="n">
        <f aca="false">R21*Utilisation!R98</f>
        <v>6919.29113924051</v>
      </c>
      <c r="S26" s="60" t="n">
        <f aca="false">S21*Utilisation!S98</f>
        <v>7488</v>
      </c>
      <c r="T26" s="60" t="n">
        <f aca="false">T21*Utilisation!T98</f>
        <v>7108.86075949367</v>
      </c>
      <c r="U26" s="60" t="n">
        <f aca="false">U21*Utilisation!U98</f>
        <v>7108.86075949367</v>
      </c>
      <c r="V26" s="60" t="n">
        <f aca="false">V21*Utilisation!V98</f>
        <v>6540.15189873418</v>
      </c>
      <c r="W26" s="60" t="n">
        <f aca="false">W21*Utilisation!W98</f>
        <v>5307.94936708861</v>
      </c>
      <c r="X26" s="60" t="n">
        <f aca="false">X21*Utilisation!X98</f>
        <v>6445.36708860759</v>
      </c>
      <c r="Y26" s="60" t="n">
        <f aca="false">Y21*Utilisation!Y98</f>
        <v>7488</v>
      </c>
      <c r="Z26" s="60" t="n">
        <f aca="false">Z21*Utilisation!Z98</f>
        <v>7772.35443037975</v>
      </c>
      <c r="AA26" s="60" t="n">
        <f aca="false">AA21*Utilisation!AA98</f>
        <v>7203.64556962025</v>
      </c>
      <c r="AB26" s="60" t="n">
        <f aca="false">AB21*Utilisation!AB98</f>
        <v>5781.87341772152</v>
      </c>
    </row>
    <row r="27" customFormat="false" ht="15" hidden="false" customHeight="false" outlineLevel="0" collapsed="false">
      <c r="A27" s="28" t="s">
        <v>988</v>
      </c>
      <c r="B27" s="58" t="s">
        <v>965</v>
      </c>
      <c r="C27" s="66" t="n">
        <f aca="false">SUM(E27:P27)</f>
        <v>1427.60897583429</v>
      </c>
      <c r="D27" s="66" t="n">
        <f aca="false">SUM(Q27:AB27)</f>
        <v>1440</v>
      </c>
      <c r="E27" s="67" t="n">
        <f aca="false">IF(E$5="A",Inputs_Actuals!E99,Client_Register!$K$24*Assumptions!E$108*Assumptions!$F$119*(Assumptions!E$99&gt;=((YEAR(Client_Register!$N$24)-YEAR(Assumptions!$C$8))*12+MONTH(Client_Register!$N$24)-MONTH(Assumptions!$C$8)+1)))</f>
        <v>115.9</v>
      </c>
      <c r="F27" s="67" t="n">
        <f aca="false">IF(F$5="A",Inputs_Actuals!F99,Client_Register!$K$24*Assumptions!F$108*Assumptions!$F$119*(Assumptions!F$99&gt;=((YEAR(Client_Register!$N$24)-YEAR(Assumptions!$C$8))*12+MONTH(Client_Register!$N$24)-MONTH(Assumptions!$C$8)+1)))</f>
        <v>109.7</v>
      </c>
      <c r="G27" s="67" t="n">
        <f aca="false">IF(G$5="A",Inputs_Actuals!G99,Client_Register!$K$24*Assumptions!G$108*Assumptions!$F$119*(Assumptions!G$99&gt;=((YEAR(Client_Register!$N$24)-YEAR(Assumptions!$C$8))*12+MONTH(Client_Register!$N$24)-MONTH(Assumptions!$C$8)+1)))</f>
        <v>133.7</v>
      </c>
      <c r="H27" s="67" t="n">
        <f aca="false">IF(H$5="A",Inputs_Actuals!H99,Client_Register!$K$24*Assumptions!H$108*Assumptions!$F$119*(Assumptions!H$99&gt;=((YEAR(Client_Register!$N$24)-YEAR(Assumptions!$C$8))*12+MONTH(Client_Register!$N$24)-MONTH(Assumptions!$C$8)+1)))</f>
        <v>145</v>
      </c>
      <c r="I27" s="67" t="n">
        <f aca="false">IF(I$5="A",Inputs_Actuals!I99,Client_Register!$K$24*Assumptions!I$108*Assumptions!$F$119*(Assumptions!I$99&gt;=((YEAR(Client_Register!$N$24)-YEAR(Assumptions!$C$8))*12+MONTH(Client_Register!$N$24)-MONTH(Assumptions!$C$8)+1)))</f>
        <v>113.4</v>
      </c>
      <c r="J27" s="67" t="n">
        <f aca="false">IF(J$5="A",Inputs_Actuals!J99,Client_Register!$K$24*Assumptions!J$108*Assumptions!$F$119*(Assumptions!J$99&gt;=((YEAR(Client_Register!$N$24)-YEAR(Assumptions!$C$8))*12+MONTH(Client_Register!$N$24)-MONTH(Assumptions!$C$8)+1)))</f>
        <v>121.3</v>
      </c>
      <c r="K27" s="67" t="n">
        <f aca="false">IF(K$5="A",Inputs_Actuals!K99,Client_Register!$K$24*Assumptions!K$108*Assumptions!$F$119*(Assumptions!K$99&gt;=((YEAR(Client_Register!$N$24)-YEAR(Assumptions!$C$8))*12+MONTH(Client_Register!$N$24)-MONTH(Assumptions!$C$8)+1)))</f>
        <v>95.8</v>
      </c>
      <c r="L27" s="67" t="n">
        <f aca="false">IF(L$5="A",Inputs_Actuals!L99,Client_Register!$K$24*Assumptions!L$108*Assumptions!$F$119*(Assumptions!L$99&gt;=((YEAR(Client_Register!$N$24)-YEAR(Assumptions!$C$8))*12+MONTH(Client_Register!$N$24)-MONTH(Assumptions!$C$8)+1)))</f>
        <v>99</v>
      </c>
      <c r="M27" s="67" t="n">
        <f aca="false">IF(M$5="A",Inputs_Actuals!M99,Client_Register!$K$24*Assumptions!M$108*Assumptions!$F$119*(Assumptions!M$99&gt;=((YEAR(Client_Register!$N$24)-YEAR(Assumptions!$C$8))*12+MONTH(Client_Register!$N$24)-MONTH(Assumptions!$C$8)+1)))</f>
        <v>130.909090909091</v>
      </c>
      <c r="N27" s="67" t="n">
        <f aca="false">IF(N$5="A",Inputs_Actuals!N99,Client_Register!$K$24*Assumptions!N$108*Assumptions!$F$119*(Assumptions!N$99&gt;=((YEAR(Client_Register!$N$24)-YEAR(Assumptions!$C$8))*12+MONTH(Client_Register!$N$24)-MONTH(Assumptions!$C$8)+1)))</f>
        <v>135.880322209436</v>
      </c>
      <c r="O27" s="67" t="n">
        <f aca="false">IF(O$5="A",Inputs_Actuals!O99,Client_Register!$K$24*Assumptions!O$108*Assumptions!$F$119*(Assumptions!O$99&gt;=((YEAR(Client_Register!$N$24)-YEAR(Assumptions!$C$8))*12+MONTH(Client_Register!$N$24)-MONTH(Assumptions!$C$8)+1)))</f>
        <v>125.937859608746</v>
      </c>
      <c r="P27" s="67" t="n">
        <f aca="false">IF(P$5="A",Inputs_Actuals!P99,Client_Register!$K$24*Assumptions!P$108*Assumptions!$F$119*(Assumptions!P$99&gt;=((YEAR(Client_Register!$N$24)-YEAR(Assumptions!$C$8))*12+MONTH(Client_Register!$N$24)-MONTH(Assumptions!$C$8)+1)))</f>
        <v>101.08170310702</v>
      </c>
      <c r="Q27" s="67" t="n">
        <f aca="false">IF(Q$5="A",Inputs_Actuals!Q99,Client_Register!$K$24*Assumptions!Q$108*Assumptions!$F$119*(Assumptions!Q$99&gt;=((YEAR(Client_Register!$N$24)-YEAR(Assumptions!$C$8))*12+MONTH(Client_Register!$N$24)-MONTH(Assumptions!$C$8)+1)))</f>
        <v>125.937859608746</v>
      </c>
      <c r="R27" s="67" t="n">
        <f aca="false">IF(R$5="A",Inputs_Actuals!R99,Client_Register!$K$24*Assumptions!R$108*Assumptions!$F$119*(Assumptions!R$99&gt;=((YEAR(Client_Register!$N$24)-YEAR(Assumptions!$C$8))*12+MONTH(Client_Register!$N$24)-MONTH(Assumptions!$C$8)+1)))</f>
        <v>120.9666283084</v>
      </c>
      <c r="S27" s="67" t="n">
        <f aca="false">IF(S$5="A",Inputs_Actuals!S99,Client_Register!$K$24*Assumptions!S$108*Assumptions!$F$119*(Assumptions!S$99&gt;=((YEAR(Client_Register!$N$24)-YEAR(Assumptions!$C$8))*12+MONTH(Client_Register!$N$24)-MONTH(Assumptions!$C$8)+1)))</f>
        <v>130.909090909091</v>
      </c>
      <c r="T27" s="67" t="n">
        <f aca="false">IF(T$5="A",Inputs_Actuals!T99,Client_Register!$K$24*Assumptions!T$108*Assumptions!$F$119*(Assumptions!T$99&gt;=((YEAR(Client_Register!$N$24)-YEAR(Assumptions!$C$8))*12+MONTH(Client_Register!$N$24)-MONTH(Assumptions!$C$8)+1)))</f>
        <v>124.280782508631</v>
      </c>
      <c r="U27" s="67" t="n">
        <f aca="false">IF(U$5="A",Inputs_Actuals!U99,Client_Register!$K$24*Assumptions!U$108*Assumptions!$F$119*(Assumptions!U$99&gt;=((YEAR(Client_Register!$N$24)-YEAR(Assumptions!$C$8))*12+MONTH(Client_Register!$N$24)-MONTH(Assumptions!$C$8)+1)))</f>
        <v>124.280782508631</v>
      </c>
      <c r="V27" s="67" t="n">
        <f aca="false">IF(V$5="A",Inputs_Actuals!V99,Client_Register!$K$24*Assumptions!V$108*Assumptions!$F$119*(Assumptions!V$99&gt;=((YEAR(Client_Register!$N$24)-YEAR(Assumptions!$C$8))*12+MONTH(Client_Register!$N$24)-MONTH(Assumptions!$C$8)+1)))</f>
        <v>114.33831990794</v>
      </c>
      <c r="W27" s="67" t="n">
        <f aca="false">IF(W$5="A",Inputs_Actuals!W99,Client_Register!$K$24*Assumptions!W$108*Assumptions!$F$119*(Assumptions!W$99&gt;=((YEAR(Client_Register!$N$24)-YEAR(Assumptions!$C$8))*12+MONTH(Client_Register!$N$24)-MONTH(Assumptions!$C$8)+1)))</f>
        <v>92.7963176064442</v>
      </c>
      <c r="X27" s="67" t="n">
        <f aca="false">IF(X$5="A",Inputs_Actuals!X99,Client_Register!$K$24*Assumptions!X$108*Assumptions!$F$119*(Assumptions!X$99&gt;=((YEAR(Client_Register!$N$24)-YEAR(Assumptions!$C$8))*12+MONTH(Client_Register!$N$24)-MONTH(Assumptions!$C$8)+1)))</f>
        <v>112.681242807825</v>
      </c>
      <c r="Y27" s="67" t="n">
        <f aca="false">IF(Y$5="A",Inputs_Actuals!Y99,Client_Register!$K$24*Assumptions!Y$108*Assumptions!$F$119*(Assumptions!Y$99&gt;=((YEAR(Client_Register!$N$24)-YEAR(Assumptions!$C$8))*12+MONTH(Client_Register!$N$24)-MONTH(Assumptions!$C$8)+1)))</f>
        <v>130.909090909091</v>
      </c>
      <c r="Z27" s="67" t="n">
        <f aca="false">IF(Z$5="A",Inputs_Actuals!Z99,Client_Register!$K$24*Assumptions!Z$108*Assumptions!$F$119*(Assumptions!Z$99&gt;=((YEAR(Client_Register!$N$24)-YEAR(Assumptions!$C$8))*12+MONTH(Client_Register!$N$24)-MONTH(Assumptions!$C$8)+1)))</f>
        <v>135.880322209436</v>
      </c>
      <c r="AA27" s="67" t="n">
        <f aca="false">IF(AA$5="A",Inputs_Actuals!AA99,Client_Register!$K$24*Assumptions!AA$108*Assumptions!$F$119*(Assumptions!AA$99&gt;=((YEAR(Client_Register!$N$24)-YEAR(Assumptions!$C$8))*12+MONTH(Client_Register!$N$24)-MONTH(Assumptions!$C$8)+1)))</f>
        <v>125.937859608746</v>
      </c>
      <c r="AB27" s="67" t="n">
        <f aca="false">IF(AB$5="A",Inputs_Actuals!AB99,Client_Register!$K$24*Assumptions!AB$108*Assumptions!$F$119*(Assumptions!AB$99&gt;=((YEAR(Client_Register!$N$24)-YEAR(Assumptions!$C$8))*12+MONTH(Client_Register!$N$24)-MONTH(Assumptions!$C$8)+1)))</f>
        <v>101.08170310702</v>
      </c>
    </row>
    <row r="28" customFormat="false" ht="15" hidden="false" customHeight="false" outlineLevel="0" collapsed="false">
      <c r="A28" s="28" t="s">
        <v>989</v>
      </c>
      <c r="B28" s="58" t="s">
        <v>967</v>
      </c>
      <c r="C28" s="64" t="n">
        <f aca="false">AVERAGE(E28:P28)</f>
        <v>92</v>
      </c>
      <c r="D28" s="64" t="n">
        <f aca="false">AVERAGE(Q28:AB28)</f>
        <v>95.68</v>
      </c>
      <c r="E28" s="65" t="n">
        <f aca="false">Client_Register!$L$24*IF(Assumptions!E$101&gt;YEAR(Assumptions!$C$8),1+Assumptions!$F$122,1)</f>
        <v>92</v>
      </c>
      <c r="F28" s="65" t="n">
        <f aca="false">Client_Register!$L$24*IF(Assumptions!F$101&gt;YEAR(Assumptions!$C$8),1+Assumptions!$F$122,1)</f>
        <v>92</v>
      </c>
      <c r="G28" s="65" t="n">
        <f aca="false">Client_Register!$L$24*IF(Assumptions!G$101&gt;YEAR(Assumptions!$C$8),1+Assumptions!$F$122,1)</f>
        <v>92</v>
      </c>
      <c r="H28" s="65" t="n">
        <f aca="false">Client_Register!$L$24*IF(Assumptions!H$101&gt;YEAR(Assumptions!$C$8),1+Assumptions!$F$122,1)</f>
        <v>92</v>
      </c>
      <c r="I28" s="65" t="n">
        <f aca="false">Client_Register!$L$24*IF(Assumptions!I$101&gt;YEAR(Assumptions!$C$8),1+Assumptions!$F$122,1)</f>
        <v>92</v>
      </c>
      <c r="J28" s="65" t="n">
        <f aca="false">Client_Register!$L$24*IF(Assumptions!J$101&gt;YEAR(Assumptions!$C$8),1+Assumptions!$F$122,1)</f>
        <v>92</v>
      </c>
      <c r="K28" s="65" t="n">
        <f aca="false">Client_Register!$L$24*IF(Assumptions!K$101&gt;YEAR(Assumptions!$C$8),1+Assumptions!$F$122,1)</f>
        <v>92</v>
      </c>
      <c r="L28" s="65" t="n">
        <f aca="false">Client_Register!$L$24*IF(Assumptions!L$101&gt;YEAR(Assumptions!$C$8),1+Assumptions!$F$122,1)</f>
        <v>92</v>
      </c>
      <c r="M28" s="65" t="n">
        <f aca="false">Client_Register!$L$24*IF(Assumptions!M$101&gt;YEAR(Assumptions!$C$8),1+Assumptions!$F$122,1)</f>
        <v>92</v>
      </c>
      <c r="N28" s="65" t="n">
        <f aca="false">Client_Register!$L$24*IF(Assumptions!N$101&gt;YEAR(Assumptions!$C$8),1+Assumptions!$F$122,1)</f>
        <v>92</v>
      </c>
      <c r="O28" s="65" t="n">
        <f aca="false">Client_Register!$L$24*IF(Assumptions!O$101&gt;YEAR(Assumptions!$C$8),1+Assumptions!$F$122,1)</f>
        <v>92</v>
      </c>
      <c r="P28" s="65" t="n">
        <f aca="false">Client_Register!$L$24*IF(Assumptions!P$101&gt;YEAR(Assumptions!$C$8),1+Assumptions!$F$122,1)</f>
        <v>92</v>
      </c>
      <c r="Q28" s="65" t="n">
        <f aca="false">Client_Register!$L$24*IF(Assumptions!Q$101&gt;YEAR(Assumptions!$C$8),1+Assumptions!$F$122,1)</f>
        <v>95.68</v>
      </c>
      <c r="R28" s="65" t="n">
        <f aca="false">Client_Register!$L$24*IF(Assumptions!R$101&gt;YEAR(Assumptions!$C$8),1+Assumptions!$F$122,1)</f>
        <v>95.68</v>
      </c>
      <c r="S28" s="65" t="n">
        <f aca="false">Client_Register!$L$24*IF(Assumptions!S$101&gt;YEAR(Assumptions!$C$8),1+Assumptions!$F$122,1)</f>
        <v>95.68</v>
      </c>
      <c r="T28" s="65" t="n">
        <f aca="false">Client_Register!$L$24*IF(Assumptions!T$101&gt;YEAR(Assumptions!$C$8),1+Assumptions!$F$122,1)</f>
        <v>95.68</v>
      </c>
      <c r="U28" s="65" t="n">
        <f aca="false">Client_Register!$L$24*IF(Assumptions!U$101&gt;YEAR(Assumptions!$C$8),1+Assumptions!$F$122,1)</f>
        <v>95.68</v>
      </c>
      <c r="V28" s="65" t="n">
        <f aca="false">Client_Register!$L$24*IF(Assumptions!V$101&gt;YEAR(Assumptions!$C$8),1+Assumptions!$F$122,1)</f>
        <v>95.68</v>
      </c>
      <c r="W28" s="65" t="n">
        <f aca="false">Client_Register!$L$24*IF(Assumptions!W$101&gt;YEAR(Assumptions!$C$8),1+Assumptions!$F$122,1)</f>
        <v>95.68</v>
      </c>
      <c r="X28" s="65" t="n">
        <f aca="false">Client_Register!$L$24*IF(Assumptions!X$101&gt;YEAR(Assumptions!$C$8),1+Assumptions!$F$122,1)</f>
        <v>95.68</v>
      </c>
      <c r="Y28" s="65" t="n">
        <f aca="false">Client_Register!$L$24*IF(Assumptions!Y$101&gt;YEAR(Assumptions!$C$8),1+Assumptions!$F$122,1)</f>
        <v>95.68</v>
      </c>
      <c r="Z28" s="65" t="n">
        <f aca="false">Client_Register!$L$24*IF(Assumptions!Z$101&gt;YEAR(Assumptions!$C$8),1+Assumptions!$F$122,1)</f>
        <v>95.68</v>
      </c>
      <c r="AA28" s="65" t="n">
        <f aca="false">Client_Register!$L$24*IF(Assumptions!AA$101&gt;YEAR(Assumptions!$C$8),1+Assumptions!$F$122,1)</f>
        <v>95.68</v>
      </c>
      <c r="AB28" s="65" t="n">
        <f aca="false">Client_Register!$L$24*IF(Assumptions!AB$101&gt;YEAR(Assumptions!$C$8),1+Assumptions!$F$122,1)</f>
        <v>95.68</v>
      </c>
    </row>
    <row r="29" customFormat="false" ht="15" hidden="false" customHeight="false" outlineLevel="0" collapsed="false">
      <c r="A29" s="28" t="s">
        <v>990</v>
      </c>
      <c r="B29" s="58" t="s">
        <v>969</v>
      </c>
      <c r="C29" s="61" t="n">
        <f aca="false">AVERAGE(E29:P29)</f>
        <v>0.130784177320714</v>
      </c>
      <c r="D29" s="61" t="n">
        <f aca="false">AVERAGE(Q29:AB29)</f>
        <v>0.131494151992327</v>
      </c>
      <c r="E29" s="63" t="n">
        <f aca="false">IF(E$5="A",IF(E27*E28=0,0,1-Inputs_Actuals!E100/(E27*E28)),Client_Register!$P$24)</f>
        <v>0.0936564504632931</v>
      </c>
      <c r="F29" s="63" t="n">
        <f aca="false">IF(F$5="A",IF(F27*F28=0,0,1-Inputs_Actuals!F100/(F27*F28)),Client_Register!$P$24)</f>
        <v>0.128032975308153</v>
      </c>
      <c r="G29" s="63" t="n">
        <f aca="false">IF(G$5="A",IF(G27*G28=0,0,1-Inputs_Actuals!G100/(G27*G28)),Client_Register!$P$24)</f>
        <v>0.175715423888654</v>
      </c>
      <c r="H29" s="63" t="n">
        <f aca="false">IF(H$5="A",IF(H27*H28=0,0,1-Inputs_Actuals!H100/(H27*H28)),Client_Register!$P$24)</f>
        <v>0.148824587706147</v>
      </c>
      <c r="I29" s="63" t="n">
        <f aca="false">IF(I$5="A",IF(I27*I28=0,0,1-Inputs_Actuals!I100/(I27*I28)),Client_Register!$P$24)</f>
        <v>0.108254735066329</v>
      </c>
      <c r="J29" s="63" t="n">
        <f aca="false">IF(J$5="A",IF(J27*J28=0,0,1-Inputs_Actuals!J100/(J27*J28)),Client_Register!$P$24)</f>
        <v>0.109641922649557</v>
      </c>
      <c r="K29" s="63" t="n">
        <f aca="false">IF(K$5="A",IF(K27*K28=0,0,1-Inputs_Actuals!K100/(K27*K28)),Client_Register!$P$24)</f>
        <v>0.128301715530544</v>
      </c>
      <c r="L29" s="63" t="n">
        <f aca="false">IF(L$5="A",IF(L27*L28=0,0,1-Inputs_Actuals!L100/(L27*L28)),Client_Register!$P$24)</f>
        <v>0.151005709266579</v>
      </c>
      <c r="M29" s="63" t="n">
        <f aca="false">IF(M$5="A",IF(M27*M28=0,0,1-Inputs_Actuals!M100/(M27*M28)),Client_Register!$P$24)</f>
        <v>0.131494151992327</v>
      </c>
      <c r="N29" s="63" t="n">
        <f aca="false">IF(N$5="A",IF(N27*N28=0,0,1-Inputs_Actuals!N100/(N27*N28)),Client_Register!$P$24)</f>
        <v>0.131494151992327</v>
      </c>
      <c r="O29" s="63" t="n">
        <f aca="false">IF(O$5="A",IF(O27*O28=0,0,1-Inputs_Actuals!O100/(O27*O28)),Client_Register!$P$24)</f>
        <v>0.131494151992327</v>
      </c>
      <c r="P29" s="63" t="n">
        <f aca="false">IF(P$5="A",IF(P27*P28=0,0,1-Inputs_Actuals!P100/(P27*P28)),Client_Register!$P$24)</f>
        <v>0.131494151992327</v>
      </c>
      <c r="Q29" s="63" t="n">
        <f aca="false">IF(Q$5="A",IF(Q27*Q28=0,0,1-Inputs_Actuals!Q100/(Q27*Q28)),Client_Register!$P$24)</f>
        <v>0.131494151992327</v>
      </c>
      <c r="R29" s="63" t="n">
        <f aca="false">IF(R$5="A",IF(R27*R28=0,0,1-Inputs_Actuals!R100/(R27*R28)),Client_Register!$P$24)</f>
        <v>0.131494151992327</v>
      </c>
      <c r="S29" s="63" t="n">
        <f aca="false">IF(S$5="A",IF(S27*S28=0,0,1-Inputs_Actuals!S100/(S27*S28)),Client_Register!$P$24)</f>
        <v>0.131494151992327</v>
      </c>
      <c r="T29" s="63" t="n">
        <f aca="false">IF(T$5="A",IF(T27*T28=0,0,1-Inputs_Actuals!T100/(T27*T28)),Client_Register!$P$24)</f>
        <v>0.131494151992327</v>
      </c>
      <c r="U29" s="63" t="n">
        <f aca="false">IF(U$5="A",IF(U27*U28=0,0,1-Inputs_Actuals!U100/(U27*U28)),Client_Register!$P$24)</f>
        <v>0.131494151992327</v>
      </c>
      <c r="V29" s="63" t="n">
        <f aca="false">IF(V$5="A",IF(V27*V28=0,0,1-Inputs_Actuals!V100/(V27*V28)),Client_Register!$P$24)</f>
        <v>0.131494151992327</v>
      </c>
      <c r="W29" s="63" t="n">
        <f aca="false">IF(W$5="A",IF(W27*W28=0,0,1-Inputs_Actuals!W100/(W27*W28)),Client_Register!$P$24)</f>
        <v>0.131494151992327</v>
      </c>
      <c r="X29" s="63" t="n">
        <f aca="false">IF(X$5="A",IF(X27*X28=0,0,1-Inputs_Actuals!X100/(X27*X28)),Client_Register!$P$24)</f>
        <v>0.131494151992327</v>
      </c>
      <c r="Y29" s="63" t="n">
        <f aca="false">IF(Y$5="A",IF(Y27*Y28=0,0,1-Inputs_Actuals!Y100/(Y27*Y28)),Client_Register!$P$24)</f>
        <v>0.131494151992327</v>
      </c>
      <c r="Z29" s="63" t="n">
        <f aca="false">IF(Z$5="A",IF(Z27*Z28=0,0,1-Inputs_Actuals!Z100/(Z27*Z28)),Client_Register!$P$24)</f>
        <v>0.131494151992327</v>
      </c>
      <c r="AA29" s="63" t="n">
        <f aca="false">IF(AA$5="A",IF(AA27*AA28=0,0,1-Inputs_Actuals!AA100/(AA27*AA28)),Client_Register!$P$24)</f>
        <v>0.131494151992327</v>
      </c>
      <c r="AB29" s="63" t="n">
        <f aca="false">IF(AB$5="A",IF(AB27*AB28=0,0,1-Inputs_Actuals!AB100/(AB27*AB28)),Client_Register!$P$24)</f>
        <v>0.131494151992327</v>
      </c>
    </row>
    <row r="30" customFormat="false" ht="15" hidden="false" customHeight="false" outlineLevel="0" collapsed="false">
      <c r="A30" s="28" t="s">
        <v>991</v>
      </c>
      <c r="B30" s="58" t="s">
        <v>971</v>
      </c>
      <c r="C30" s="59" t="n">
        <f aca="false">SUM(E30:P30)</f>
        <v>114069.58046459</v>
      </c>
      <c r="D30" s="59" t="n">
        <f aca="false">SUM(Q30:AB30)</f>
        <v>119662.040933819</v>
      </c>
      <c r="E30" s="60" t="n">
        <f aca="false">IF(E$5="A",Inputs_Actuals!E100,E27*E28*(1-E29))</f>
        <v>9664.16</v>
      </c>
      <c r="F30" s="60" t="n">
        <f aca="false">IF(F$5="A",Inputs_Actuals!F100,F27*F28*(1-F29))</f>
        <v>8800.24</v>
      </c>
      <c r="G30" s="60" t="n">
        <f aca="false">IF(G$5="A",Inputs_Actuals!G100,G27*G28*(1-G29))</f>
        <v>10139.03</v>
      </c>
      <c r="H30" s="60" t="n">
        <f aca="false">IF(H$5="A",Inputs_Actuals!H100,H27*H28*(1-H29))</f>
        <v>11354.68</v>
      </c>
      <c r="I30" s="60" t="n">
        <f aca="false">IF(I$5="A",Inputs_Actuals!I100,I27*I28*(1-I29))</f>
        <v>9303.4</v>
      </c>
      <c r="J30" s="60" t="n">
        <f aca="false">IF(J$5="A",Inputs_Actuals!J100,J27*J28*(1-J29))</f>
        <v>9936.04</v>
      </c>
      <c r="K30" s="60" t="n">
        <f aca="false">IF(K$5="A",Inputs_Actuals!K100,K27*K28*(1-K29))</f>
        <v>7682.8</v>
      </c>
      <c r="L30" s="60" t="n">
        <f aca="false">IF(L$5="A",Inputs_Actuals!L100,L27*L28*(1-L29))</f>
        <v>7732.64</v>
      </c>
      <c r="M30" s="60" t="n">
        <f aca="false">IF(M$5="A",Inputs_Actuals!M100,M27*M28*(1-M29))</f>
        <v>10459.9686130961</v>
      </c>
      <c r="N30" s="60" t="n">
        <f aca="false">IF(N$5="A",Inputs_Actuals!N100,N27*N28*(1-N29))</f>
        <v>10857.1826110617</v>
      </c>
      <c r="O30" s="60" t="n">
        <f aca="false">IF(O$5="A",Inputs_Actuals!O100,O27*O28*(1-O29))</f>
        <v>10062.7546151304</v>
      </c>
      <c r="P30" s="60" t="n">
        <f aca="false">IF(P$5="A",Inputs_Actuals!P100,P27*P28*(1-P29))</f>
        <v>8076.68462530201</v>
      </c>
      <c r="Q30" s="60" t="n">
        <f aca="false">IF(Q$5="A",Inputs_Actuals!Q100,Q27*Q28*(1-Q29))</f>
        <v>10465.2647997356</v>
      </c>
      <c r="R30" s="60" t="n">
        <f aca="false">IF(R$5="A",Inputs_Actuals!R100,R27*R28*(1-R29))</f>
        <v>10052.1622418513</v>
      </c>
      <c r="S30" s="60" t="n">
        <f aca="false">IF(S$5="A",Inputs_Actuals!S100,S27*S28*(1-S29))</f>
        <v>10878.3673576199</v>
      </c>
      <c r="T30" s="60" t="n">
        <f aca="false">IF(T$5="A",Inputs_Actuals!T100,T27*T28*(1-T29))</f>
        <v>10327.5639471075</v>
      </c>
      <c r="U30" s="60" t="n">
        <f aca="false">IF(U$5="A",Inputs_Actuals!U100,U27*U28*(1-U29))</f>
        <v>10327.5639471075</v>
      </c>
      <c r="V30" s="60" t="n">
        <f aca="false">IF(V$5="A",Inputs_Actuals!V100,V27*V28*(1-V29))</f>
        <v>9501.35883133889</v>
      </c>
      <c r="W30" s="60" t="n">
        <f aca="false">IF(W$5="A",Inputs_Actuals!W100,W27*W28*(1-W29))</f>
        <v>7711.2477471736</v>
      </c>
      <c r="X30" s="60" t="n">
        <f aca="false">IF(X$5="A",Inputs_Actuals!X100,X27*X28*(1-X29))</f>
        <v>9363.6579787108</v>
      </c>
      <c r="Y30" s="60" t="n">
        <f aca="false">IF(Y$5="A",Inputs_Actuals!Y100,Y27*Y28*(1-Y29))</f>
        <v>10878.3673576199</v>
      </c>
      <c r="Z30" s="60" t="n">
        <f aca="false">IF(Z$5="A",Inputs_Actuals!Z100,Z27*Z28*(1-Z29))</f>
        <v>11291.4699155042</v>
      </c>
      <c r="AA30" s="60" t="n">
        <f aca="false">IF(AA$5="A",Inputs_Actuals!AA100,AA27*AA28*(1-AA29))</f>
        <v>10465.2647997356</v>
      </c>
      <c r="AB30" s="60" t="n">
        <f aca="false">IF(AB$5="A",Inputs_Actuals!AB100,AB27*AB28*(1-AB29))</f>
        <v>8399.7520103141</v>
      </c>
    </row>
    <row r="31" customFormat="false" ht="15" hidden="false" customHeight="false" outlineLevel="0" collapsed="false">
      <c r="A31" s="28" t="s">
        <v>992</v>
      </c>
      <c r="B31" s="58" t="s">
        <v>973</v>
      </c>
      <c r="C31" s="59" t="n">
        <f aca="false">SUM(E31:P31)</f>
        <v>113854.225839288</v>
      </c>
      <c r="D31" s="59" t="n">
        <f aca="false">SUM(Q31:AB31)</f>
        <v>119338.973548807</v>
      </c>
      <c r="E31" s="60" t="n">
        <f aca="false">IF(E$5="A",Inputs_Actuals!E101,0)</f>
        <v>7861.33</v>
      </c>
      <c r="F31" s="60" t="n">
        <f aca="false">IF(F$5="A",Inputs_Actuals!F101,E30)</f>
        <v>9664.16</v>
      </c>
      <c r="G31" s="60" t="n">
        <f aca="false">IF(G$5="A",Inputs_Actuals!G101,F30)</f>
        <v>8800.24</v>
      </c>
      <c r="H31" s="60" t="n">
        <f aca="false">IF(H$5="A",Inputs_Actuals!H101,G30)</f>
        <v>10139.03</v>
      </c>
      <c r="I31" s="60" t="n">
        <f aca="false">IF(I$5="A",Inputs_Actuals!I101,H30)</f>
        <v>11354.68</v>
      </c>
      <c r="J31" s="60" t="n">
        <f aca="false">IF(J$5="A",Inputs_Actuals!J101,I30)</f>
        <v>9303.4</v>
      </c>
      <c r="K31" s="60" t="n">
        <f aca="false">IF(K$5="A",Inputs_Actuals!K101,J30)</f>
        <v>9936.04</v>
      </c>
      <c r="L31" s="60" t="n">
        <f aca="false">IF(L$5="A",Inputs_Actuals!L101,K30)</f>
        <v>7682.8</v>
      </c>
      <c r="M31" s="60" t="n">
        <f aca="false">IF(M$5="A",Inputs_Actuals!M101,L30)</f>
        <v>7732.64</v>
      </c>
      <c r="N31" s="60" t="n">
        <f aca="false">IF(N$5="A",Inputs_Actuals!N101,M30)</f>
        <v>10459.9686130961</v>
      </c>
      <c r="O31" s="60" t="n">
        <f aca="false">IF(O$5="A",Inputs_Actuals!O101,N30)</f>
        <v>10857.1826110617</v>
      </c>
      <c r="P31" s="60" t="n">
        <f aca="false">IF(P$5="A",Inputs_Actuals!P101,O30)</f>
        <v>10062.7546151304</v>
      </c>
      <c r="Q31" s="60" t="n">
        <f aca="false">IF(Q$5="A",Inputs_Actuals!Q101,P30)</f>
        <v>8076.68462530201</v>
      </c>
      <c r="R31" s="60" t="n">
        <f aca="false">IF(R$5="A",Inputs_Actuals!R101,Q30)</f>
        <v>10465.2647997356</v>
      </c>
      <c r="S31" s="60" t="n">
        <f aca="false">IF(S$5="A",Inputs_Actuals!S101,R30)</f>
        <v>10052.1622418513</v>
      </c>
      <c r="T31" s="60" t="n">
        <f aca="false">IF(T$5="A",Inputs_Actuals!T101,S30)</f>
        <v>10878.3673576199</v>
      </c>
      <c r="U31" s="60" t="n">
        <f aca="false">IF(U$5="A",Inputs_Actuals!U101,T30)</f>
        <v>10327.5639471075</v>
      </c>
      <c r="V31" s="60" t="n">
        <f aca="false">IF(V$5="A",Inputs_Actuals!V101,U30)</f>
        <v>10327.5639471075</v>
      </c>
      <c r="W31" s="60" t="n">
        <f aca="false">IF(W$5="A",Inputs_Actuals!W101,V30)</f>
        <v>9501.35883133889</v>
      </c>
      <c r="X31" s="60" t="n">
        <f aca="false">IF(X$5="A",Inputs_Actuals!X101,W30)</f>
        <v>7711.2477471736</v>
      </c>
      <c r="Y31" s="60" t="n">
        <f aca="false">IF(Y$5="A",Inputs_Actuals!Y101,X30)</f>
        <v>9363.6579787108</v>
      </c>
      <c r="Z31" s="60" t="n">
        <f aca="false">IF(Z$5="A",Inputs_Actuals!Z101,Y30)</f>
        <v>10878.3673576199</v>
      </c>
      <c r="AA31" s="60" t="n">
        <f aca="false">IF(AA$5="A",Inputs_Actuals!AA101,Z30)</f>
        <v>11291.4699155042</v>
      </c>
      <c r="AB31" s="60" t="n">
        <f aca="false">IF(AB$5="A",Inputs_Actuals!AB101,AA30)</f>
        <v>10465.2647997356</v>
      </c>
    </row>
    <row r="32" customFormat="false" ht="15" hidden="false" customHeight="false" outlineLevel="0" collapsed="false">
      <c r="A32" s="28" t="s">
        <v>993</v>
      </c>
      <c r="B32" s="58" t="s">
        <v>975</v>
      </c>
      <c r="C32" s="59" t="n">
        <f aca="false">SUM(E32:P32)</f>
        <v>157036.987341772</v>
      </c>
      <c r="D32" s="59" t="n">
        <f aca="false">SUM(Q32:AB32)</f>
        <v>164736</v>
      </c>
      <c r="E32" s="60" t="n">
        <f aca="false">E27*Utilisation!E98</f>
        <v>12749</v>
      </c>
      <c r="F32" s="60" t="n">
        <f aca="false">F27*Utilisation!F98</f>
        <v>12067</v>
      </c>
      <c r="G32" s="60" t="n">
        <f aca="false">G27*Utilisation!G98</f>
        <v>14707</v>
      </c>
      <c r="H32" s="60" t="n">
        <f aca="false">H27*Utilisation!H98</f>
        <v>15950</v>
      </c>
      <c r="I32" s="60" t="n">
        <f aca="false">I27*Utilisation!I98</f>
        <v>12474</v>
      </c>
      <c r="J32" s="60" t="n">
        <f aca="false">J27*Utilisation!J98</f>
        <v>13343</v>
      </c>
      <c r="K32" s="60" t="n">
        <f aca="false">K27*Utilisation!K98</f>
        <v>10538</v>
      </c>
      <c r="L32" s="60" t="n">
        <f aca="false">L27*Utilisation!L98</f>
        <v>10890</v>
      </c>
      <c r="M32" s="60" t="n">
        <f aca="false">M27*Utilisation!M98</f>
        <v>14400</v>
      </c>
      <c r="N32" s="60" t="n">
        <f aca="false">N27*Utilisation!N98</f>
        <v>14946.835443038</v>
      </c>
      <c r="O32" s="60" t="n">
        <f aca="false">O27*Utilisation!O98</f>
        <v>13853.164556962</v>
      </c>
      <c r="P32" s="60" t="n">
        <f aca="false">P27*Utilisation!P98</f>
        <v>11118.9873417722</v>
      </c>
      <c r="Q32" s="60" t="n">
        <f aca="false">Q27*Utilisation!Q98</f>
        <v>14407.2911392405</v>
      </c>
      <c r="R32" s="60" t="n">
        <f aca="false">R27*Utilisation!R98</f>
        <v>13838.582278481</v>
      </c>
      <c r="S32" s="60" t="n">
        <f aca="false">S27*Utilisation!S98</f>
        <v>14976</v>
      </c>
      <c r="T32" s="60" t="n">
        <f aca="false">T27*Utilisation!T98</f>
        <v>14217.7215189873</v>
      </c>
      <c r="U32" s="60" t="n">
        <f aca="false">U27*Utilisation!U98</f>
        <v>14217.7215189873</v>
      </c>
      <c r="V32" s="60" t="n">
        <f aca="false">V27*Utilisation!V98</f>
        <v>13080.3037974684</v>
      </c>
      <c r="W32" s="60" t="n">
        <f aca="false">W27*Utilisation!W98</f>
        <v>10615.8987341772</v>
      </c>
      <c r="X32" s="60" t="n">
        <f aca="false">X27*Utilisation!X98</f>
        <v>12890.7341772152</v>
      </c>
      <c r="Y32" s="60" t="n">
        <f aca="false">Y27*Utilisation!Y98</f>
        <v>14976</v>
      </c>
      <c r="Z32" s="60" t="n">
        <f aca="false">Z27*Utilisation!Z98</f>
        <v>15544.7088607595</v>
      </c>
      <c r="AA32" s="60" t="n">
        <f aca="false">AA27*Utilisation!AA98</f>
        <v>14407.2911392405</v>
      </c>
      <c r="AB32" s="60" t="n">
        <f aca="false">AB27*Utilisation!AB98</f>
        <v>11563.746835443</v>
      </c>
    </row>
    <row r="33" customFormat="false" ht="15" hidden="false" customHeight="false" outlineLevel="0" collapsed="false">
      <c r="A33" s="68" t="s">
        <v>475</v>
      </c>
      <c r="B33" s="69"/>
      <c r="C33" s="114" t="n">
        <f aca="false">SUM(E33:P33)</f>
        <v>5146.23210586882</v>
      </c>
      <c r="D33" s="114" t="n">
        <f aca="false">SUM(Q33:AB33)</f>
        <v>5880</v>
      </c>
      <c r="E33" s="114" t="n">
        <f aca="false">E9+E15+E21+E27</f>
        <v>373.4</v>
      </c>
      <c r="F33" s="114" t="n">
        <f aca="false">F9+F15+F21+F27</f>
        <v>334.2</v>
      </c>
      <c r="G33" s="114" t="n">
        <f aca="false">G9+G15+G21+G27</f>
        <v>452.4</v>
      </c>
      <c r="H33" s="114" t="n">
        <f aca="false">H9+H15+H21+H27</f>
        <v>427.2</v>
      </c>
      <c r="I33" s="114" t="n">
        <f aca="false">I9+I15+I21+I27</f>
        <v>420</v>
      </c>
      <c r="J33" s="114" t="n">
        <f aca="false">J9+J15+J21+J27</f>
        <v>422.9</v>
      </c>
      <c r="K33" s="114" t="n">
        <f aca="false">K9+K15+K21+K27</f>
        <v>329.3</v>
      </c>
      <c r="L33" s="114" t="n">
        <f aca="false">L9+L15+L21+L27</f>
        <v>435.9</v>
      </c>
      <c r="M33" s="114" t="n">
        <f aca="false">M9+M15+M21+M27</f>
        <v>469.090909090909</v>
      </c>
      <c r="N33" s="114" t="n">
        <f aca="false">N9+N15+N21+N27</f>
        <v>554.844649021864</v>
      </c>
      <c r="O33" s="114" t="n">
        <f aca="false">O9+O15+O21+O27</f>
        <v>514.246260069045</v>
      </c>
      <c r="P33" s="114" t="n">
        <f aca="false">P9+P15+P21+P27</f>
        <v>412.750287686997</v>
      </c>
      <c r="Q33" s="114" t="n">
        <f aca="false">Q9+Q15+Q21+Q27</f>
        <v>514.246260069045</v>
      </c>
      <c r="R33" s="114" t="n">
        <f aca="false">R9+R15+R21+R27</f>
        <v>493.947065592635</v>
      </c>
      <c r="S33" s="114" t="n">
        <f aca="false">S9+S15+S21+S27</f>
        <v>534.545454545455</v>
      </c>
      <c r="T33" s="114" t="n">
        <f aca="false">T9+T15+T21+T27</f>
        <v>507.479861910242</v>
      </c>
      <c r="U33" s="114" t="n">
        <f aca="false">U9+U15+U21+U27</f>
        <v>507.479861910242</v>
      </c>
      <c r="V33" s="114" t="n">
        <f aca="false">V9+V15+V21+V27</f>
        <v>466.881472957422</v>
      </c>
      <c r="W33" s="114" t="n">
        <f aca="false">W9+W15+W21+W27</f>
        <v>378.91829689298</v>
      </c>
      <c r="X33" s="114" t="n">
        <f aca="false">X9+X15+X21+X27</f>
        <v>460.115074798619</v>
      </c>
      <c r="Y33" s="114" t="n">
        <f aca="false">Y9+Y15+Y21+Y27</f>
        <v>534.545454545455</v>
      </c>
      <c r="Z33" s="114" t="n">
        <f aca="false">Z9+Z15+Z21+Z27</f>
        <v>554.844649021864</v>
      </c>
      <c r="AA33" s="114" t="n">
        <f aca="false">AA9+AA15+AA21+AA27</f>
        <v>514.246260069045</v>
      </c>
      <c r="AB33" s="114" t="n">
        <f aca="false">AB9+AB15+AB21+AB27</f>
        <v>412.750287686997</v>
      </c>
    </row>
    <row r="34" customFormat="false" ht="15" hidden="false" customHeight="false" outlineLevel="0" collapsed="false">
      <c r="A34" s="68" t="s">
        <v>994</v>
      </c>
      <c r="B34" s="69"/>
      <c r="C34" s="70" t="n">
        <f aca="false">SUM(E34:P34)</f>
        <v>460502.243749224</v>
      </c>
      <c r="D34" s="70" t="n">
        <f aca="false">SUM(Q34:AB34)</f>
        <v>552186.947030337</v>
      </c>
      <c r="E34" s="74" t="n">
        <f aca="false">E12/FX!E9+E18/1+E24/FX!E9+E30/1</f>
        <v>33303.6009937888</v>
      </c>
      <c r="F34" s="74" t="n">
        <f aca="false">F12/FX!F9+F18/1+F24/FX!F9+F30/1</f>
        <v>29595.2242180775</v>
      </c>
      <c r="G34" s="74" t="n">
        <f aca="false">G12/FX!G9+G18/1+G24/FX!G9+G30/1</f>
        <v>40155.6619710883</v>
      </c>
      <c r="H34" s="74" t="n">
        <f aca="false">H12/FX!H9+H18/1+H24/FX!H9+H30/1</f>
        <v>36895.952516344</v>
      </c>
      <c r="I34" s="74" t="n">
        <f aca="false">I12/FX!I9+I18/1+I24/FX!I9+I30/1</f>
        <v>37446.0124364862</v>
      </c>
      <c r="J34" s="74" t="n">
        <f aca="false">J12/FX!J9+J18/1+J24/FX!J9+J30/1</f>
        <v>38717.0875130133</v>
      </c>
      <c r="K34" s="74" t="n">
        <f aca="false">K12/FX!K9+K18/1+K24/FX!K9+K30/1</f>
        <v>29519.8270160116</v>
      </c>
      <c r="L34" s="74" t="n">
        <f aca="false">L12/FX!L9+L18/1+L24/FX!L9+L30/1</f>
        <v>38965.4465714686</v>
      </c>
      <c r="M34" s="74" t="n">
        <f aca="false">M12/FX!M9+M18/1+M24/FX!M9+M30/1</f>
        <v>42096.9537938565</v>
      </c>
      <c r="N34" s="74" t="n">
        <f aca="false">N12/FX!N9+N18/1+N24/FX!N9+N30/1</f>
        <v>50101.0552098872</v>
      </c>
      <c r="O34" s="74" t="n">
        <f aca="false">O12/FX!O9+O18/1+O24/FX!O9+O30/1</f>
        <v>46435.1243408711</v>
      </c>
      <c r="P34" s="74" t="n">
        <f aca="false">P12/FX!P9+P18/1+P24/FX!P9+P30/1</f>
        <v>37270.2971683307</v>
      </c>
      <c r="Q34" s="74" t="n">
        <f aca="false">Q12/FX!Q9+Q18/1+Q24/FX!Q9+Q30/1</f>
        <v>48292.5293145059</v>
      </c>
      <c r="R34" s="74" t="n">
        <f aca="false">R12/FX!R9+R18/1+R24/FX!R9+R30/1</f>
        <v>46386.2452626175</v>
      </c>
      <c r="S34" s="74" t="n">
        <f aca="false">S12/FX!S9+S18/1+S24/FX!S9+S30/1</f>
        <v>50198.8133663943</v>
      </c>
      <c r="T34" s="74" t="n">
        <f aca="false">T12/FX!T9+T18/1+T24/FX!T9+T30/1</f>
        <v>47657.1012972098</v>
      </c>
      <c r="U34" s="74" t="n">
        <f aca="false">U12/FX!U9+U18/1+U24/FX!U9+U30/1</f>
        <v>47657.1012972098</v>
      </c>
      <c r="V34" s="74" t="n">
        <f aca="false">V12/FX!V9+V18/1+V24/FX!V9+V30/1</f>
        <v>43844.533193433</v>
      </c>
      <c r="W34" s="74" t="n">
        <f aca="false">W12/FX!W9+W18/1+W24/FX!W9+W30/1</f>
        <v>35583.9689685833</v>
      </c>
      <c r="X34" s="74" t="n">
        <f aca="false">X12/FX!X9+X18/1+X24/FX!X9+X30/1</f>
        <v>43209.1051761369</v>
      </c>
      <c r="Y34" s="74" t="n">
        <f aca="false">Y12/FX!Y9+Y18/1+Y24/FX!Y9+Y30/1</f>
        <v>50198.8133663943</v>
      </c>
      <c r="Z34" s="74" t="n">
        <f aca="false">Z12/FX!Z9+Z18/1+Z24/FX!Z9+Z30/1</f>
        <v>52105.0974182827</v>
      </c>
      <c r="AA34" s="74" t="n">
        <f aca="false">AA12/FX!AA9+AA18/1+AA24/FX!AA9+AA30/1</f>
        <v>48292.5293145059</v>
      </c>
      <c r="AB34" s="74" t="n">
        <f aca="false">AB12/FX!AB9+AB18/1+AB24/FX!AB9+AB30/1</f>
        <v>38761.109055064</v>
      </c>
    </row>
    <row r="35" customFormat="false" ht="15" hidden="false" customHeight="false" outlineLevel="0" collapsed="false">
      <c r="A35" s="28" t="s">
        <v>995</v>
      </c>
      <c r="B35" s="58"/>
      <c r="C35" s="59" t="n">
        <f aca="false">SUM(E35:P35)</f>
        <v>566085.53164557</v>
      </c>
      <c r="D35" s="59" t="n">
        <f aca="false">SUM(Q35:AB35)</f>
        <v>672672</v>
      </c>
      <c r="E35" s="71" t="n">
        <f aca="false">E14+E20+E26+E32</f>
        <v>41074</v>
      </c>
      <c r="F35" s="71" t="n">
        <f aca="false">F14+F20+F26+F32</f>
        <v>36762</v>
      </c>
      <c r="G35" s="71" t="n">
        <f aca="false">G14+G20+G26+G32</f>
        <v>49764</v>
      </c>
      <c r="H35" s="71" t="n">
        <f aca="false">H14+H20+H26+H32</f>
        <v>46992</v>
      </c>
      <c r="I35" s="71" t="n">
        <f aca="false">I14+I20+I26+I32</f>
        <v>46200</v>
      </c>
      <c r="J35" s="71" t="n">
        <f aca="false">J14+J20+J26+J32</f>
        <v>46519</v>
      </c>
      <c r="K35" s="71" t="n">
        <f aca="false">K14+K20+K26+K32</f>
        <v>36223</v>
      </c>
      <c r="L35" s="71" t="n">
        <f aca="false">L14+L20+L26+L32</f>
        <v>47949</v>
      </c>
      <c r="M35" s="71" t="n">
        <f aca="false">M14+M20+M26+M32</f>
        <v>51600</v>
      </c>
      <c r="N35" s="71" t="n">
        <f aca="false">N14+N20+N26+N32</f>
        <v>61032.9113924051</v>
      </c>
      <c r="O35" s="71" t="n">
        <f aca="false">O14+O20+O26+O32</f>
        <v>56567.0886075949</v>
      </c>
      <c r="P35" s="71" t="n">
        <f aca="false">P14+P20+P26+P32</f>
        <v>45402.5316455696</v>
      </c>
      <c r="Q35" s="71" t="n">
        <f aca="false">Q14+Q20+Q26+Q32</f>
        <v>58829.7721518987</v>
      </c>
      <c r="R35" s="71" t="n">
        <f aca="false">R14+R20+R26+R32</f>
        <v>56507.5443037975</v>
      </c>
      <c r="S35" s="71" t="n">
        <f aca="false">S14+S20+S26+S32</f>
        <v>61152</v>
      </c>
      <c r="T35" s="71" t="n">
        <f aca="false">T14+T20+T26+T32</f>
        <v>58055.6962025316</v>
      </c>
      <c r="U35" s="71" t="n">
        <f aca="false">U14+U20+U26+U32</f>
        <v>58055.6962025316</v>
      </c>
      <c r="V35" s="71" t="n">
        <f aca="false">V14+V20+V26+V32</f>
        <v>53411.2405063291</v>
      </c>
      <c r="W35" s="71" t="n">
        <f aca="false">W14+W20+W26+W32</f>
        <v>43348.253164557</v>
      </c>
      <c r="X35" s="71" t="n">
        <f aca="false">X14+X20+X26+X32</f>
        <v>52637.164556962</v>
      </c>
      <c r="Y35" s="71" t="n">
        <f aca="false">Y14+Y20+Y26+Y32</f>
        <v>61152</v>
      </c>
      <c r="Z35" s="71" t="n">
        <f aca="false">Z14+Z20+Z26+Z32</f>
        <v>63474.2278481013</v>
      </c>
      <c r="AA35" s="71" t="n">
        <f aca="false">AA14+AA20+AA26+AA32</f>
        <v>58829.7721518987</v>
      </c>
      <c r="AB35" s="71" t="n">
        <f aca="false">AB14+AB20+AB26+AB32</f>
        <v>47218.6329113924</v>
      </c>
    </row>
    <row r="36" customFormat="false" ht="15" hidden="false" customHeight="false" outlineLevel="0" collapsed="false">
      <c r="A36" s="28" t="s">
        <v>996</v>
      </c>
      <c r="B36" s="58"/>
      <c r="C36" s="61" t="n">
        <f aca="false">IF(C35=0,0,C34/C35)</f>
        <v>0.813485273878273</v>
      </c>
      <c r="D36" s="61" t="n">
        <f aca="false">IF(D35=0,0,D34/D35)</f>
        <v>0.820885880533659</v>
      </c>
      <c r="E36" s="62" t="n">
        <f aca="false">IF(E35=0,0,E34/E35)</f>
        <v>0.810819520713561</v>
      </c>
      <c r="F36" s="62" t="n">
        <f aca="false">IF(F35=0,0,F34/F35)</f>
        <v>0.805049350363894</v>
      </c>
      <c r="G36" s="62" t="n">
        <f aca="false">IF(G35=0,0,G34/G35)</f>
        <v>0.806921910840934</v>
      </c>
      <c r="H36" s="62" t="n">
        <f aca="false">IF(H35=0,0,H34/H35)</f>
        <v>0.785153909523834</v>
      </c>
      <c r="I36" s="62" t="n">
        <f aca="false">IF(I35=0,0,I34/I35)</f>
        <v>0.810519749707492</v>
      </c>
      <c r="J36" s="62" t="n">
        <f aca="false">IF(J35=0,0,J34/J35)</f>
        <v>0.832285464283697</v>
      </c>
      <c r="K36" s="62" t="n">
        <f aca="false">IF(K35=0,0,K34/K35)</f>
        <v>0.814947050658743</v>
      </c>
      <c r="L36" s="62" t="n">
        <f aca="false">IF(L35=0,0,L34/L35)</f>
        <v>0.812643570699464</v>
      </c>
      <c r="M36" s="62" t="n">
        <f aca="false">IF(M35=0,0,M34/M35)</f>
        <v>0.815832437865435</v>
      </c>
      <c r="N36" s="62" t="n">
        <f aca="false">IF(N35=0,0,N34/N35)</f>
        <v>0.820885880533659</v>
      </c>
      <c r="O36" s="62" t="n">
        <f aca="false">IF(O35=0,0,O34/O35)</f>
        <v>0.820885880533659</v>
      </c>
      <c r="P36" s="62" t="n">
        <f aca="false">IF(P35=0,0,P34/P35)</f>
        <v>0.820885880533659</v>
      </c>
      <c r="Q36" s="62" t="n">
        <f aca="false">IF(Q35=0,0,Q34/Q35)</f>
        <v>0.820885880533659</v>
      </c>
      <c r="R36" s="62" t="n">
        <f aca="false">IF(R35=0,0,R34/R35)</f>
        <v>0.820885880533659</v>
      </c>
      <c r="S36" s="62" t="n">
        <f aca="false">IF(S35=0,0,S34/S35)</f>
        <v>0.820885880533659</v>
      </c>
      <c r="T36" s="62" t="n">
        <f aca="false">IF(T35=0,0,T34/T35)</f>
        <v>0.820885880533659</v>
      </c>
      <c r="U36" s="62" t="n">
        <f aca="false">IF(U35=0,0,U34/U35)</f>
        <v>0.820885880533659</v>
      </c>
      <c r="V36" s="62" t="n">
        <f aca="false">IF(V35=0,0,V34/V35)</f>
        <v>0.820885880533659</v>
      </c>
      <c r="W36" s="62" t="n">
        <f aca="false">IF(W35=0,0,W34/W35)</f>
        <v>0.820885880533659</v>
      </c>
      <c r="X36" s="62" t="n">
        <f aca="false">IF(X35=0,0,X34/X35)</f>
        <v>0.820885880533659</v>
      </c>
      <c r="Y36" s="62" t="n">
        <f aca="false">IF(Y35=0,0,Y34/Y35)</f>
        <v>0.820885880533659</v>
      </c>
      <c r="Z36" s="62" t="n">
        <f aca="false">IF(Z35=0,0,Z34/Z35)</f>
        <v>0.820885880533659</v>
      </c>
      <c r="AA36" s="62" t="n">
        <f aca="false">IF(AA35=0,0,AA34/AA35)</f>
        <v>0.820885880533659</v>
      </c>
      <c r="AB36" s="62" t="n">
        <f aca="false">IF(AB35=0,0,AB34/AB35)</f>
        <v>0.820885880533659</v>
      </c>
    </row>
    <row r="37" customFormat="false" ht="15" hidden="false" customHeight="false" outlineLevel="0" collapsed="false">
      <c r="A37" s="22" t="s">
        <v>997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row>
    <row r="38" customFormat="false" ht="15" hidden="false" customHeight="false" outlineLevel="0" collapsed="false">
      <c r="A38" s="28" t="s">
        <v>998</v>
      </c>
      <c r="B38" s="58" t="s">
        <v>999</v>
      </c>
      <c r="C38" s="59" t="n">
        <f aca="false">SUM(E38:P38)</f>
        <v>684147.39</v>
      </c>
      <c r="D38" s="59" t="n">
        <f aca="false">SUM(Q38:AB38)</f>
        <v>608575</v>
      </c>
      <c r="E38" s="60" t="n">
        <f aca="false">IF(E$5="A",Inputs_Actuals!E102,Client_Register!$Q$8*Assumptions!E$109*Assumptions!$F$121*Retainers!E19)</f>
        <v>51747.62</v>
      </c>
      <c r="F38" s="60" t="n">
        <f aca="false">IF(F$5="A",Inputs_Actuals!F102,Client_Register!$Q$8*Assumptions!F$109*Assumptions!$F$121*Retainers!F19)</f>
        <v>47739.56</v>
      </c>
      <c r="G38" s="60" t="n">
        <f aca="false">IF(G$5="A",Inputs_Actuals!G102,Client_Register!$Q$8*Assumptions!G$109*Assumptions!$F$121*Retainers!G19)</f>
        <v>53342.71</v>
      </c>
      <c r="H38" s="60" t="n">
        <f aca="false">IF(H$5="A",Inputs_Actuals!H102,Client_Register!$Q$8*Assumptions!H$109*Assumptions!$F$121*Retainers!H19)</f>
        <v>62071.92</v>
      </c>
      <c r="I38" s="60" t="n">
        <f aca="false">IF(I$5="A",Inputs_Actuals!I102,Client_Register!$Q$8*Assumptions!I$109*Assumptions!$F$121*Retainers!I19)</f>
        <v>56242.76</v>
      </c>
      <c r="J38" s="60" t="n">
        <f aca="false">IF(J$5="A",Inputs_Actuals!J102,Client_Register!$Q$8*Assumptions!J$109*Assumptions!$F$121*Retainers!J19)</f>
        <v>49248.69</v>
      </c>
      <c r="K38" s="60" t="n">
        <f aca="false">IF(K$5="A",Inputs_Actuals!K102,Client_Register!$Q$8*Assumptions!K$109*Assumptions!$F$121*Retainers!K19)</f>
        <v>47988.9</v>
      </c>
      <c r="L38" s="60" t="n">
        <f aca="false">IF(L$5="A",Inputs_Actuals!L102,Client_Register!$Q$8*Assumptions!L$109*Assumptions!$F$121*Retainers!L19)</f>
        <v>60015.23</v>
      </c>
      <c r="M38" s="60" t="n">
        <f aca="false">IF(M$5="A",Inputs_Actuals!M102,Client_Register!$Q$8*Assumptions!M$109*Assumptions!$F$121*Retainers!M19)</f>
        <v>55000</v>
      </c>
      <c r="N38" s="60" t="n">
        <f aca="false">IF(N$5="A",Inputs_Actuals!N102,Client_Register!$Q$8*Assumptions!N$109*Assumptions!$F$121*Retainers!N19)</f>
        <v>60500</v>
      </c>
      <c r="O38" s="60" t="n">
        <f aca="false">IF(O$5="A",Inputs_Actuals!O102,Client_Register!$Q$8*Assumptions!O$109*Assumptions!$F$121*Retainers!O19)</f>
        <v>74250</v>
      </c>
      <c r="P38" s="60" t="n">
        <f aca="false">IF(P$5="A",Inputs_Actuals!P102,Client_Register!$Q$8*Assumptions!P$109*Assumptions!$F$121*Retainers!P19)</f>
        <v>66000</v>
      </c>
      <c r="Q38" s="60" t="n">
        <f aca="false">IF(Q$5="A",Inputs_Actuals!Q102,Client_Register!$Q$8*Assumptions!Q$109*Assumptions!$F$121*Retainers!Q19)</f>
        <v>46750</v>
      </c>
      <c r="R38" s="60" t="n">
        <f aca="false">IF(R$5="A",Inputs_Actuals!R102,Client_Register!$Q$8*Assumptions!R$109*Assumptions!$F$121*Retainers!R19)</f>
        <v>46750</v>
      </c>
      <c r="S38" s="60" t="n">
        <f aca="false">IF(S$5="A",Inputs_Actuals!S102,Client_Register!$Q$8*Assumptions!S$109*Assumptions!$F$121*Retainers!S19)</f>
        <v>52250</v>
      </c>
      <c r="T38" s="60" t="n">
        <f aca="false">IF(T$5="A",Inputs_Actuals!T102,Client_Register!$Q$8*Assumptions!T$109*Assumptions!$F$121*Retainers!T19)</f>
        <v>49500</v>
      </c>
      <c r="U38" s="60" t="n">
        <f aca="false">IF(U$5="A",Inputs_Actuals!U102,Client_Register!$Q$8*Assumptions!U$109*Assumptions!$F$121*Retainers!U19)</f>
        <v>49500</v>
      </c>
      <c r="V38" s="60" t="n">
        <f aca="false">IF(V$5="A",Inputs_Actuals!V102,Client_Register!$Q$8*Assumptions!V$109*Assumptions!$F$121*Retainers!V19)</f>
        <v>47025</v>
      </c>
      <c r="W38" s="60" t="n">
        <f aca="false">IF(W$5="A",Inputs_Actuals!W102,Client_Register!$Q$8*Assumptions!W$109*Assumptions!$F$121*Retainers!W19)</f>
        <v>42075</v>
      </c>
      <c r="X38" s="60" t="n">
        <f aca="false">IF(X$5="A",Inputs_Actuals!X102,Client_Register!$Q$8*Assumptions!X$109*Assumptions!$F$121*Retainers!X19)</f>
        <v>44550</v>
      </c>
      <c r="Y38" s="60" t="n">
        <f aca="false">IF(Y$5="A",Inputs_Actuals!Y102,Client_Register!$Q$8*Assumptions!Y$109*Assumptions!$F$121*Retainers!Y19)</f>
        <v>49500</v>
      </c>
      <c r="Z38" s="60" t="n">
        <f aca="false">IF(Z$5="A",Inputs_Actuals!Z102,Client_Register!$Q$8*Assumptions!Z$109*Assumptions!$F$121*Retainers!Z19)</f>
        <v>54450</v>
      </c>
      <c r="AA38" s="60" t="n">
        <f aca="false">IF(AA$5="A",Inputs_Actuals!AA102,Client_Register!$Q$8*Assumptions!AA$109*Assumptions!$F$121*Retainers!AA19)</f>
        <v>66825</v>
      </c>
      <c r="AB38" s="60" t="n">
        <f aca="false">IF(AB$5="A",Inputs_Actuals!AB102,Client_Register!$Q$8*Assumptions!AB$109*Assumptions!$F$121*Retainers!AB19)</f>
        <v>59400</v>
      </c>
    </row>
    <row r="39" customFormat="false" ht="15" hidden="false" customHeight="false" outlineLevel="0" collapsed="false">
      <c r="A39" s="28" t="s">
        <v>1000</v>
      </c>
      <c r="B39" s="58" t="s">
        <v>1001</v>
      </c>
      <c r="C39" s="59" t="n">
        <f aca="false">SUM(E39:P39)</f>
        <v>68414.74</v>
      </c>
      <c r="D39" s="59" t="n">
        <f aca="false">SUM(Q39:AB39)</f>
        <v>60857.5</v>
      </c>
      <c r="E39" s="60" t="n">
        <f aca="false">IF(E$5="A",Inputs_Actuals!E103,E38*Client_Register!$R$8)</f>
        <v>5174.76</v>
      </c>
      <c r="F39" s="60" t="n">
        <f aca="false">IF(F$5="A",Inputs_Actuals!F103,F38*Client_Register!$R$8)</f>
        <v>4773.96</v>
      </c>
      <c r="G39" s="60" t="n">
        <f aca="false">IF(G$5="A",Inputs_Actuals!G103,G38*Client_Register!$R$8)</f>
        <v>5334.27</v>
      </c>
      <c r="H39" s="60" t="n">
        <f aca="false">IF(H$5="A",Inputs_Actuals!H103,H38*Client_Register!$R$8)</f>
        <v>6207.19</v>
      </c>
      <c r="I39" s="60" t="n">
        <f aca="false">IF(I$5="A",Inputs_Actuals!I103,I38*Client_Register!$R$8)</f>
        <v>5624.28</v>
      </c>
      <c r="J39" s="60" t="n">
        <f aca="false">IF(J$5="A",Inputs_Actuals!J103,J38*Client_Register!$R$8)</f>
        <v>4924.87</v>
      </c>
      <c r="K39" s="60" t="n">
        <f aca="false">IF(K$5="A",Inputs_Actuals!K103,K38*Client_Register!$R$8)</f>
        <v>4798.89</v>
      </c>
      <c r="L39" s="60" t="n">
        <f aca="false">IF(L$5="A",Inputs_Actuals!L103,L38*Client_Register!$R$8)</f>
        <v>6001.52</v>
      </c>
      <c r="M39" s="60" t="n">
        <f aca="false">IF(M$5="A",Inputs_Actuals!M103,M38*Client_Register!$R$8)</f>
        <v>5500</v>
      </c>
      <c r="N39" s="60" t="n">
        <f aca="false">IF(N$5="A",Inputs_Actuals!N103,N38*Client_Register!$R$8)</f>
        <v>6050</v>
      </c>
      <c r="O39" s="60" t="n">
        <f aca="false">IF(O$5="A",Inputs_Actuals!O103,O38*Client_Register!$R$8)</f>
        <v>7425</v>
      </c>
      <c r="P39" s="60" t="n">
        <f aca="false">IF(P$5="A",Inputs_Actuals!P103,P38*Client_Register!$R$8)</f>
        <v>6600</v>
      </c>
      <c r="Q39" s="60" t="n">
        <f aca="false">IF(Q$5="A",Inputs_Actuals!Q103,Q38*Client_Register!$R$8)</f>
        <v>4675</v>
      </c>
      <c r="R39" s="60" t="n">
        <f aca="false">IF(R$5="A",Inputs_Actuals!R103,R38*Client_Register!$R$8)</f>
        <v>4675</v>
      </c>
      <c r="S39" s="60" t="n">
        <f aca="false">IF(S$5="A",Inputs_Actuals!S103,S38*Client_Register!$R$8)</f>
        <v>5225</v>
      </c>
      <c r="T39" s="60" t="n">
        <f aca="false">IF(T$5="A",Inputs_Actuals!T103,T38*Client_Register!$R$8)</f>
        <v>4950</v>
      </c>
      <c r="U39" s="60" t="n">
        <f aca="false">IF(U$5="A",Inputs_Actuals!U103,U38*Client_Register!$R$8)</f>
        <v>4950</v>
      </c>
      <c r="V39" s="60" t="n">
        <f aca="false">IF(V$5="A",Inputs_Actuals!V103,V38*Client_Register!$R$8)</f>
        <v>4702.5</v>
      </c>
      <c r="W39" s="60" t="n">
        <f aca="false">IF(W$5="A",Inputs_Actuals!W103,W38*Client_Register!$R$8)</f>
        <v>4207.5</v>
      </c>
      <c r="X39" s="60" t="n">
        <f aca="false">IF(X$5="A",Inputs_Actuals!X103,X38*Client_Register!$R$8)</f>
        <v>4455</v>
      </c>
      <c r="Y39" s="60" t="n">
        <f aca="false">IF(Y$5="A",Inputs_Actuals!Y103,Y38*Client_Register!$R$8)</f>
        <v>4950</v>
      </c>
      <c r="Z39" s="60" t="n">
        <f aca="false">IF(Z$5="A",Inputs_Actuals!Z103,Z38*Client_Register!$R$8)</f>
        <v>5445</v>
      </c>
      <c r="AA39" s="60" t="n">
        <f aca="false">IF(AA$5="A",Inputs_Actuals!AA103,AA38*Client_Register!$R$8)</f>
        <v>6682.5</v>
      </c>
      <c r="AB39" s="60" t="n">
        <f aca="false">IF(AB$5="A",Inputs_Actuals!AB103,AB38*Client_Register!$R$8)</f>
        <v>5940</v>
      </c>
    </row>
    <row r="40" customFormat="false" ht="15" hidden="false" customHeight="false" outlineLevel="0" collapsed="false">
      <c r="A40" s="28" t="s">
        <v>1002</v>
      </c>
      <c r="B40" s="58" t="s">
        <v>1003</v>
      </c>
      <c r="C40" s="66" t="n">
        <f aca="false">SUM(E40:P40)</f>
        <v>720</v>
      </c>
      <c r="D40" s="66" t="n">
        <f aca="false">SUM(Q40:AB40)</f>
        <v>720</v>
      </c>
      <c r="E40" s="67" t="n">
        <f aca="false">Client_Register!$S$8*(E38&gt;0)</f>
        <v>60</v>
      </c>
      <c r="F40" s="67" t="n">
        <f aca="false">Client_Register!$S$8*(F38&gt;0)</f>
        <v>60</v>
      </c>
      <c r="G40" s="67" t="n">
        <f aca="false">Client_Register!$S$8*(G38&gt;0)</f>
        <v>60</v>
      </c>
      <c r="H40" s="67" t="n">
        <f aca="false">Client_Register!$S$8*(H38&gt;0)</f>
        <v>60</v>
      </c>
      <c r="I40" s="67" t="n">
        <f aca="false">Client_Register!$S$8*(I38&gt;0)</f>
        <v>60</v>
      </c>
      <c r="J40" s="67" t="n">
        <f aca="false">Client_Register!$S$8*(J38&gt;0)</f>
        <v>60</v>
      </c>
      <c r="K40" s="67" t="n">
        <f aca="false">Client_Register!$S$8*(K38&gt;0)</f>
        <v>60</v>
      </c>
      <c r="L40" s="67" t="n">
        <f aca="false">Client_Register!$S$8*(L38&gt;0)</f>
        <v>60</v>
      </c>
      <c r="M40" s="67" t="n">
        <f aca="false">Client_Register!$S$8*(M38&gt;0)</f>
        <v>60</v>
      </c>
      <c r="N40" s="67" t="n">
        <f aca="false">Client_Register!$S$8*(N38&gt;0)</f>
        <v>60</v>
      </c>
      <c r="O40" s="67" t="n">
        <f aca="false">Client_Register!$S$8*(O38&gt;0)</f>
        <v>60</v>
      </c>
      <c r="P40" s="67" t="n">
        <f aca="false">Client_Register!$S$8*(P38&gt;0)</f>
        <v>60</v>
      </c>
      <c r="Q40" s="67" t="n">
        <f aca="false">Client_Register!$S$8*(Q38&gt;0)</f>
        <v>60</v>
      </c>
      <c r="R40" s="67" t="n">
        <f aca="false">Client_Register!$S$8*(R38&gt;0)</f>
        <v>60</v>
      </c>
      <c r="S40" s="67" t="n">
        <f aca="false">Client_Register!$S$8*(S38&gt;0)</f>
        <v>60</v>
      </c>
      <c r="T40" s="67" t="n">
        <f aca="false">Client_Register!$S$8*(T38&gt;0)</f>
        <v>60</v>
      </c>
      <c r="U40" s="67" t="n">
        <f aca="false">Client_Register!$S$8*(U38&gt;0)</f>
        <v>60</v>
      </c>
      <c r="V40" s="67" t="n">
        <f aca="false">Client_Register!$S$8*(V38&gt;0)</f>
        <v>60</v>
      </c>
      <c r="W40" s="67" t="n">
        <f aca="false">Client_Register!$S$8*(W38&gt;0)</f>
        <v>60</v>
      </c>
      <c r="X40" s="67" t="n">
        <f aca="false">Client_Register!$S$8*(X38&gt;0)</f>
        <v>60</v>
      </c>
      <c r="Y40" s="67" t="n">
        <f aca="false">Client_Register!$S$8*(Y38&gt;0)</f>
        <v>60</v>
      </c>
      <c r="Z40" s="67" t="n">
        <f aca="false">Client_Register!$S$8*(Z38&gt;0)</f>
        <v>60</v>
      </c>
      <c r="AA40" s="67" t="n">
        <f aca="false">Client_Register!$S$8*(AA38&gt;0)</f>
        <v>60</v>
      </c>
      <c r="AB40" s="67" t="n">
        <f aca="false">Client_Register!$S$8*(AB38&gt;0)</f>
        <v>60</v>
      </c>
    </row>
    <row r="41" customFormat="false" ht="15" hidden="false" customHeight="false" outlineLevel="0" collapsed="false">
      <c r="A41" s="28" t="s">
        <v>1004</v>
      </c>
      <c r="B41" s="58" t="s">
        <v>999</v>
      </c>
      <c r="C41" s="59" t="n">
        <f aca="false">SUM(E41:P41)</f>
        <v>1086224.31</v>
      </c>
      <c r="D41" s="59" t="n">
        <f aca="false">SUM(Q41:AB41)</f>
        <v>1022400</v>
      </c>
      <c r="E41" s="60" t="n">
        <f aca="false">IF(E$5="A",Inputs_Actuals!E104,Client_Register!$Q$15*Assumptions!E$109*Assumptions!$F$121*Retainers!E59)</f>
        <v>67663.78</v>
      </c>
      <c r="F41" s="60" t="n">
        <f aca="false">IF(F$5="A",Inputs_Actuals!F104,Client_Register!$Q$15*Assumptions!F$109*Assumptions!$F$121*Retainers!F59)</f>
        <v>69211.3</v>
      </c>
      <c r="G41" s="60" t="n">
        <f aca="false">IF(G$5="A",Inputs_Actuals!G104,Client_Register!$Q$15*Assumptions!G$109*Assumptions!$F$121*Retainers!G59)</f>
        <v>83017.1</v>
      </c>
      <c r="H41" s="60" t="n">
        <f aca="false">IF(H$5="A",Inputs_Actuals!H104,Client_Register!$Q$15*Assumptions!H$109*Assumptions!$F$121*Retainers!H59)</f>
        <v>87696.66</v>
      </c>
      <c r="I41" s="60" t="n">
        <f aca="false">IF(I$5="A",Inputs_Actuals!I104,Client_Register!$Q$15*Assumptions!I$109*Assumptions!$F$121*Retainers!I59)</f>
        <v>93777.15</v>
      </c>
      <c r="J41" s="60" t="n">
        <f aca="false">IF(J$5="A",Inputs_Actuals!J104,Client_Register!$Q$15*Assumptions!J$109*Assumptions!$F$121*Retainers!J59)</f>
        <v>86148.17</v>
      </c>
      <c r="K41" s="60" t="n">
        <f aca="false">IF(K$5="A",Inputs_Actuals!K104,Client_Register!$Q$15*Assumptions!K$109*Assumptions!$F$121*Retainers!K59)</f>
        <v>89944.71</v>
      </c>
      <c r="L41" s="60" t="n">
        <f aca="false">IF(L$5="A",Inputs_Actuals!L104,Client_Register!$Q$15*Assumptions!L$109*Assumptions!$F$121*Retainers!L59)</f>
        <v>90265.44</v>
      </c>
      <c r="M41" s="60" t="n">
        <f aca="false">IF(M$5="A",Inputs_Actuals!M104,Client_Register!$Q$15*Assumptions!M$109*Assumptions!$F$121*Retainers!M59)</f>
        <v>90000</v>
      </c>
      <c r="N41" s="60" t="n">
        <f aca="false">IF(N$5="A",Inputs_Actuals!N104,Client_Register!$Q$15*Assumptions!N$109*Assumptions!$F$121*Retainers!N59)</f>
        <v>99000</v>
      </c>
      <c r="O41" s="60" t="n">
        <f aca="false">IF(O$5="A",Inputs_Actuals!O104,Client_Register!$Q$15*Assumptions!O$109*Assumptions!$F$121*Retainers!O59)</f>
        <v>121500</v>
      </c>
      <c r="P41" s="60" t="n">
        <f aca="false">IF(P$5="A",Inputs_Actuals!P104,Client_Register!$Q$15*Assumptions!P$109*Assumptions!$F$121*Retainers!P59)</f>
        <v>108000</v>
      </c>
      <c r="Q41" s="60" t="n">
        <f aca="false">IF(Q$5="A",Inputs_Actuals!Q104,Client_Register!$Q$15*Assumptions!Q$109*Assumptions!$F$121*Retainers!Q59)</f>
        <v>76500</v>
      </c>
      <c r="R41" s="60" t="n">
        <f aca="false">IF(R$5="A",Inputs_Actuals!R104,Client_Register!$Q$15*Assumptions!R$109*Assumptions!$F$121*Retainers!R59)</f>
        <v>76500</v>
      </c>
      <c r="S41" s="60" t="n">
        <f aca="false">IF(S$5="A",Inputs_Actuals!S104,Client_Register!$Q$15*Assumptions!S$109*Assumptions!$F$121*Retainers!S59)</f>
        <v>85500</v>
      </c>
      <c r="T41" s="60" t="n">
        <f aca="false">IF(T$5="A",Inputs_Actuals!T104,Client_Register!$Q$15*Assumptions!T$109*Assumptions!$F$121*Retainers!T59)</f>
        <v>90000</v>
      </c>
      <c r="U41" s="60" t="n">
        <f aca="false">IF(U$5="A",Inputs_Actuals!U104,Client_Register!$Q$15*Assumptions!U$109*Assumptions!$F$121*Retainers!U59)</f>
        <v>90000</v>
      </c>
      <c r="V41" s="60" t="n">
        <f aca="false">IF(V$5="A",Inputs_Actuals!V104,Client_Register!$Q$15*Assumptions!V$109*Assumptions!$F$121*Retainers!V59)</f>
        <v>85500</v>
      </c>
      <c r="W41" s="60" t="n">
        <f aca="false">IF(W$5="A",Inputs_Actuals!W104,Client_Register!$Q$15*Assumptions!W$109*Assumptions!$F$121*Retainers!W59)</f>
        <v>68850</v>
      </c>
      <c r="X41" s="60" t="n">
        <f aca="false">IF(X$5="A",Inputs_Actuals!X104,Client_Register!$Q$15*Assumptions!X$109*Assumptions!$F$121*Retainers!X59)</f>
        <v>72900</v>
      </c>
      <c r="Y41" s="60" t="n">
        <f aca="false">IF(Y$5="A",Inputs_Actuals!Y104,Client_Register!$Q$15*Assumptions!Y$109*Assumptions!$F$121*Retainers!Y59)</f>
        <v>81000</v>
      </c>
      <c r="Z41" s="60" t="n">
        <f aca="false">IF(Z$5="A",Inputs_Actuals!Z104,Client_Register!$Q$15*Assumptions!Z$109*Assumptions!$F$121*Retainers!Z59)</f>
        <v>89100</v>
      </c>
      <c r="AA41" s="60" t="n">
        <f aca="false">IF(AA$5="A",Inputs_Actuals!AA104,Client_Register!$Q$15*Assumptions!AA$109*Assumptions!$F$121*Retainers!AA59)</f>
        <v>109350</v>
      </c>
      <c r="AB41" s="60" t="n">
        <f aca="false">IF(AB$5="A",Inputs_Actuals!AB104,Client_Register!$Q$15*Assumptions!AB$109*Assumptions!$F$121*Retainers!AB59)</f>
        <v>97200</v>
      </c>
    </row>
    <row r="42" customFormat="false" ht="15" hidden="false" customHeight="false" outlineLevel="0" collapsed="false">
      <c r="A42" s="28" t="s">
        <v>1005</v>
      </c>
      <c r="B42" s="58" t="s">
        <v>1001</v>
      </c>
      <c r="C42" s="59" t="n">
        <f aca="false">SUM(E42:P42)</f>
        <v>97760.19</v>
      </c>
      <c r="D42" s="59" t="n">
        <f aca="false">SUM(Q42:AB42)</f>
        <v>92016</v>
      </c>
      <c r="E42" s="60" t="n">
        <f aca="false">IF(E$5="A",Inputs_Actuals!E105,E41*Client_Register!$R$15)</f>
        <v>6089.74</v>
      </c>
      <c r="F42" s="60" t="n">
        <f aca="false">IF(F$5="A",Inputs_Actuals!F105,F41*Client_Register!$R$15)</f>
        <v>6229.02</v>
      </c>
      <c r="G42" s="60" t="n">
        <f aca="false">IF(G$5="A",Inputs_Actuals!G105,G41*Client_Register!$R$15)</f>
        <v>7471.54</v>
      </c>
      <c r="H42" s="60" t="n">
        <f aca="false">IF(H$5="A",Inputs_Actuals!H105,H41*Client_Register!$R$15)</f>
        <v>7892.7</v>
      </c>
      <c r="I42" s="60" t="n">
        <f aca="false">IF(I$5="A",Inputs_Actuals!I105,I41*Client_Register!$R$15)</f>
        <v>8439.94</v>
      </c>
      <c r="J42" s="60" t="n">
        <f aca="false">IF(J$5="A",Inputs_Actuals!J105,J41*Client_Register!$R$15)</f>
        <v>7753.34</v>
      </c>
      <c r="K42" s="60" t="n">
        <f aca="false">IF(K$5="A",Inputs_Actuals!K105,K41*Client_Register!$R$15)</f>
        <v>8095.02</v>
      </c>
      <c r="L42" s="60" t="n">
        <f aca="false">IF(L$5="A",Inputs_Actuals!L105,L41*Client_Register!$R$15)</f>
        <v>8123.89</v>
      </c>
      <c r="M42" s="60" t="n">
        <f aca="false">IF(M$5="A",Inputs_Actuals!M105,M41*Client_Register!$R$15)</f>
        <v>8100</v>
      </c>
      <c r="N42" s="60" t="n">
        <f aca="false">IF(N$5="A",Inputs_Actuals!N105,N41*Client_Register!$R$15)</f>
        <v>8910</v>
      </c>
      <c r="O42" s="60" t="n">
        <f aca="false">IF(O$5="A",Inputs_Actuals!O105,O41*Client_Register!$R$15)</f>
        <v>10935</v>
      </c>
      <c r="P42" s="60" t="n">
        <f aca="false">IF(P$5="A",Inputs_Actuals!P105,P41*Client_Register!$R$15)</f>
        <v>9720</v>
      </c>
      <c r="Q42" s="60" t="n">
        <f aca="false">IF(Q$5="A",Inputs_Actuals!Q105,Q41*Client_Register!$R$15)</f>
        <v>6885</v>
      </c>
      <c r="R42" s="60" t="n">
        <f aca="false">IF(R$5="A",Inputs_Actuals!R105,R41*Client_Register!$R$15)</f>
        <v>6885</v>
      </c>
      <c r="S42" s="60" t="n">
        <f aca="false">IF(S$5="A",Inputs_Actuals!S105,S41*Client_Register!$R$15)</f>
        <v>7695</v>
      </c>
      <c r="T42" s="60" t="n">
        <f aca="false">IF(T$5="A",Inputs_Actuals!T105,T41*Client_Register!$R$15)</f>
        <v>8100</v>
      </c>
      <c r="U42" s="60" t="n">
        <f aca="false">IF(U$5="A",Inputs_Actuals!U105,U41*Client_Register!$R$15)</f>
        <v>8100</v>
      </c>
      <c r="V42" s="60" t="n">
        <f aca="false">IF(V$5="A",Inputs_Actuals!V105,V41*Client_Register!$R$15)</f>
        <v>7695</v>
      </c>
      <c r="W42" s="60" t="n">
        <f aca="false">IF(W$5="A",Inputs_Actuals!W105,W41*Client_Register!$R$15)</f>
        <v>6196.5</v>
      </c>
      <c r="X42" s="60" t="n">
        <f aca="false">IF(X$5="A",Inputs_Actuals!X105,X41*Client_Register!$R$15)</f>
        <v>6561</v>
      </c>
      <c r="Y42" s="60" t="n">
        <f aca="false">IF(Y$5="A",Inputs_Actuals!Y105,Y41*Client_Register!$R$15)</f>
        <v>7290</v>
      </c>
      <c r="Z42" s="60" t="n">
        <f aca="false">IF(Z$5="A",Inputs_Actuals!Z105,Z41*Client_Register!$R$15)</f>
        <v>8019</v>
      </c>
      <c r="AA42" s="60" t="n">
        <f aca="false">IF(AA$5="A",Inputs_Actuals!AA105,AA41*Client_Register!$R$15)</f>
        <v>9841.5</v>
      </c>
      <c r="AB42" s="60" t="n">
        <f aca="false">IF(AB$5="A",Inputs_Actuals!AB105,AB41*Client_Register!$R$15)</f>
        <v>8748</v>
      </c>
    </row>
    <row r="43" customFormat="false" ht="15" hidden="false" customHeight="false" outlineLevel="0" collapsed="false">
      <c r="A43" s="28" t="s">
        <v>1006</v>
      </c>
      <c r="B43" s="58" t="s">
        <v>1003</v>
      </c>
      <c r="C43" s="66" t="n">
        <f aca="false">SUM(E43:P43)</f>
        <v>840</v>
      </c>
      <c r="D43" s="66" t="n">
        <f aca="false">SUM(Q43:AB43)</f>
        <v>840</v>
      </c>
      <c r="E43" s="67" t="n">
        <f aca="false">Client_Register!$S$15*(E41&gt;0)</f>
        <v>70</v>
      </c>
      <c r="F43" s="67" t="n">
        <f aca="false">Client_Register!$S$15*(F41&gt;0)</f>
        <v>70</v>
      </c>
      <c r="G43" s="67" t="n">
        <f aca="false">Client_Register!$S$15*(G41&gt;0)</f>
        <v>70</v>
      </c>
      <c r="H43" s="67" t="n">
        <f aca="false">Client_Register!$S$15*(H41&gt;0)</f>
        <v>70</v>
      </c>
      <c r="I43" s="67" t="n">
        <f aca="false">Client_Register!$S$15*(I41&gt;0)</f>
        <v>70</v>
      </c>
      <c r="J43" s="67" t="n">
        <f aca="false">Client_Register!$S$15*(J41&gt;0)</f>
        <v>70</v>
      </c>
      <c r="K43" s="67" t="n">
        <f aca="false">Client_Register!$S$15*(K41&gt;0)</f>
        <v>70</v>
      </c>
      <c r="L43" s="67" t="n">
        <f aca="false">Client_Register!$S$15*(L41&gt;0)</f>
        <v>70</v>
      </c>
      <c r="M43" s="67" t="n">
        <f aca="false">Client_Register!$S$15*(M41&gt;0)</f>
        <v>70</v>
      </c>
      <c r="N43" s="67" t="n">
        <f aca="false">Client_Register!$S$15*(N41&gt;0)</f>
        <v>70</v>
      </c>
      <c r="O43" s="67" t="n">
        <f aca="false">Client_Register!$S$15*(O41&gt;0)</f>
        <v>70</v>
      </c>
      <c r="P43" s="67" t="n">
        <f aca="false">Client_Register!$S$15*(P41&gt;0)</f>
        <v>70</v>
      </c>
      <c r="Q43" s="67" t="n">
        <f aca="false">Client_Register!$S$15*(Q41&gt;0)</f>
        <v>70</v>
      </c>
      <c r="R43" s="67" t="n">
        <f aca="false">Client_Register!$S$15*(R41&gt;0)</f>
        <v>70</v>
      </c>
      <c r="S43" s="67" t="n">
        <f aca="false">Client_Register!$S$15*(S41&gt;0)</f>
        <v>70</v>
      </c>
      <c r="T43" s="67" t="n">
        <f aca="false">Client_Register!$S$15*(T41&gt;0)</f>
        <v>70</v>
      </c>
      <c r="U43" s="67" t="n">
        <f aca="false">Client_Register!$S$15*(U41&gt;0)</f>
        <v>70</v>
      </c>
      <c r="V43" s="67" t="n">
        <f aca="false">Client_Register!$S$15*(V41&gt;0)</f>
        <v>70</v>
      </c>
      <c r="W43" s="67" t="n">
        <f aca="false">Client_Register!$S$15*(W41&gt;0)</f>
        <v>70</v>
      </c>
      <c r="X43" s="67" t="n">
        <f aca="false">Client_Register!$S$15*(X41&gt;0)</f>
        <v>70</v>
      </c>
      <c r="Y43" s="67" t="n">
        <f aca="false">Client_Register!$S$15*(Y41&gt;0)</f>
        <v>70</v>
      </c>
      <c r="Z43" s="67" t="n">
        <f aca="false">Client_Register!$S$15*(Z41&gt;0)</f>
        <v>70</v>
      </c>
      <c r="AA43" s="67" t="n">
        <f aca="false">Client_Register!$S$15*(AA41&gt;0)</f>
        <v>70</v>
      </c>
      <c r="AB43" s="67" t="n">
        <f aca="false">Client_Register!$S$15*(AB41&gt;0)</f>
        <v>70</v>
      </c>
    </row>
    <row r="44" customFormat="false" ht="15" hidden="false" customHeight="false" outlineLevel="0" collapsed="false">
      <c r="A44" s="28" t="s">
        <v>1007</v>
      </c>
      <c r="B44" s="58" t="s">
        <v>999</v>
      </c>
      <c r="C44" s="59" t="n">
        <f aca="false">SUM(E44:P44)</f>
        <v>486488.92</v>
      </c>
      <c r="D44" s="59" t="n">
        <f aca="false">SUM(Q44:AB44)</f>
        <v>465400</v>
      </c>
      <c r="E44" s="60" t="n">
        <f aca="false">IF(E$5="A",Inputs_Actuals!E106,Client_Register!$Q$18*Assumptions!E$109*Assumptions!$F$121*Retainers!E79)</f>
        <v>36651.48</v>
      </c>
      <c r="F44" s="60" t="n">
        <f aca="false">IF(F$5="A",Inputs_Actuals!F106,Client_Register!$Q$18*Assumptions!F$109*Assumptions!$F$121*Retainers!F79)</f>
        <v>36033.18</v>
      </c>
      <c r="G44" s="60" t="n">
        <f aca="false">IF(G$5="A",Inputs_Actuals!G106,Client_Register!$Q$18*Assumptions!G$109*Assumptions!$F$121*Retainers!G79)</f>
        <v>37761.67</v>
      </c>
      <c r="H44" s="60" t="n">
        <f aca="false">IF(H$5="A",Inputs_Actuals!H106,Client_Register!$Q$18*Assumptions!H$109*Assumptions!$F$121*Retainers!H79)</f>
        <v>41489.22</v>
      </c>
      <c r="I44" s="60" t="n">
        <f aca="false">IF(I$5="A",Inputs_Actuals!I106,Client_Register!$Q$18*Assumptions!I$109*Assumptions!$F$121*Retainers!I79)</f>
        <v>37868.66</v>
      </c>
      <c r="J44" s="60" t="n">
        <f aca="false">IF(J$5="A",Inputs_Actuals!J106,Client_Register!$Q$18*Assumptions!J$109*Assumptions!$F$121*Retainers!J79)</f>
        <v>40561.35</v>
      </c>
      <c r="K44" s="60" t="n">
        <f aca="false">IF(K$5="A",Inputs_Actuals!K106,Client_Register!$Q$18*Assumptions!K$109*Assumptions!$F$121*Retainers!K79)</f>
        <v>35029.41</v>
      </c>
      <c r="L44" s="60" t="n">
        <f aca="false">IF(L$5="A",Inputs_Actuals!L106,Client_Register!$Q$18*Assumptions!L$109*Assumptions!$F$121*Retainers!L79)</f>
        <v>35093.95</v>
      </c>
      <c r="M44" s="60" t="n">
        <f aca="false">IF(M$5="A",Inputs_Actuals!M106,Client_Register!$Q$18*Assumptions!M$109*Assumptions!$F$121*Retainers!M79)</f>
        <v>40000</v>
      </c>
      <c r="N44" s="60" t="n">
        <f aca="false">IF(N$5="A",Inputs_Actuals!N106,Client_Register!$Q$18*Assumptions!N$109*Assumptions!$F$121*Retainers!N79)</f>
        <v>44000</v>
      </c>
      <c r="O44" s="60" t="n">
        <f aca="false">IF(O$5="A",Inputs_Actuals!O106,Client_Register!$Q$18*Assumptions!O$109*Assumptions!$F$121*Retainers!O79)</f>
        <v>54000</v>
      </c>
      <c r="P44" s="60" t="n">
        <f aca="false">IF(P$5="A",Inputs_Actuals!P106,Client_Register!$Q$18*Assumptions!P$109*Assumptions!$F$121*Retainers!P79)</f>
        <v>48000</v>
      </c>
      <c r="Q44" s="60" t="n">
        <f aca="false">IF(Q$5="A",Inputs_Actuals!Q106,Client_Register!$Q$18*Assumptions!Q$109*Assumptions!$F$121*Retainers!Q79)</f>
        <v>34000</v>
      </c>
      <c r="R44" s="60" t="n">
        <f aca="false">IF(R$5="A",Inputs_Actuals!R106,Client_Register!$Q$18*Assumptions!R$109*Assumptions!$F$121*Retainers!R79)</f>
        <v>34000</v>
      </c>
      <c r="S44" s="60" t="n">
        <f aca="false">IF(S$5="A",Inputs_Actuals!S106,Client_Register!$Q$18*Assumptions!S$109*Assumptions!$F$121*Retainers!S79)</f>
        <v>38000</v>
      </c>
      <c r="T44" s="60" t="n">
        <f aca="false">IF(T$5="A",Inputs_Actuals!T106,Client_Register!$Q$18*Assumptions!T$109*Assumptions!$F$121*Retainers!T79)</f>
        <v>40000</v>
      </c>
      <c r="U44" s="60" t="n">
        <f aca="false">IF(U$5="A",Inputs_Actuals!U106,Client_Register!$Q$18*Assumptions!U$109*Assumptions!$F$121*Retainers!U79)</f>
        <v>40000</v>
      </c>
      <c r="V44" s="60" t="n">
        <f aca="false">IF(V$5="A",Inputs_Actuals!V106,Client_Register!$Q$18*Assumptions!V$109*Assumptions!$F$121*Retainers!V79)</f>
        <v>38000</v>
      </c>
      <c r="W44" s="60" t="n">
        <f aca="false">IF(W$5="A",Inputs_Actuals!W106,Client_Register!$Q$18*Assumptions!W$109*Assumptions!$F$121*Retainers!W79)</f>
        <v>34000</v>
      </c>
      <c r="X44" s="60" t="n">
        <f aca="false">IF(X$5="A",Inputs_Actuals!X106,Client_Register!$Q$18*Assumptions!X$109*Assumptions!$F$121*Retainers!X79)</f>
        <v>36000</v>
      </c>
      <c r="Y44" s="60" t="n">
        <f aca="false">IF(Y$5="A",Inputs_Actuals!Y106,Client_Register!$Q$18*Assumptions!Y$109*Assumptions!$F$121*Retainers!Y79)</f>
        <v>40000</v>
      </c>
      <c r="Z44" s="60" t="n">
        <f aca="false">IF(Z$5="A",Inputs_Actuals!Z106,Client_Register!$Q$18*Assumptions!Z$109*Assumptions!$F$121*Retainers!Z79)</f>
        <v>39600</v>
      </c>
      <c r="AA44" s="60" t="n">
        <f aca="false">IF(AA$5="A",Inputs_Actuals!AA106,Client_Register!$Q$18*Assumptions!AA$109*Assumptions!$F$121*Retainers!AA79)</f>
        <v>48600</v>
      </c>
      <c r="AB44" s="60" t="n">
        <f aca="false">IF(AB$5="A",Inputs_Actuals!AB106,Client_Register!$Q$18*Assumptions!AB$109*Assumptions!$F$121*Retainers!AB79)</f>
        <v>43200</v>
      </c>
    </row>
    <row r="45" customFormat="false" ht="15" hidden="false" customHeight="false" outlineLevel="0" collapsed="false">
      <c r="A45" s="28" t="s">
        <v>1008</v>
      </c>
      <c r="B45" s="58" t="s">
        <v>1001</v>
      </c>
      <c r="C45" s="59" t="n">
        <f aca="false">SUM(E45:P45)</f>
        <v>48648.9</v>
      </c>
      <c r="D45" s="59" t="n">
        <f aca="false">SUM(Q45:AB45)</f>
        <v>46540</v>
      </c>
      <c r="E45" s="60" t="n">
        <f aca="false">IF(E$5="A",Inputs_Actuals!E107,E44*Client_Register!$R$18)</f>
        <v>3665.15</v>
      </c>
      <c r="F45" s="60" t="n">
        <f aca="false">IF(F$5="A",Inputs_Actuals!F107,F44*Client_Register!$R$18)</f>
        <v>3603.32</v>
      </c>
      <c r="G45" s="60" t="n">
        <f aca="false">IF(G$5="A",Inputs_Actuals!G107,G44*Client_Register!$R$18)</f>
        <v>3776.17</v>
      </c>
      <c r="H45" s="60" t="n">
        <f aca="false">IF(H$5="A",Inputs_Actuals!H107,H44*Client_Register!$R$18)</f>
        <v>4148.92</v>
      </c>
      <c r="I45" s="60" t="n">
        <f aca="false">IF(I$5="A",Inputs_Actuals!I107,I44*Client_Register!$R$18)</f>
        <v>3786.87</v>
      </c>
      <c r="J45" s="60" t="n">
        <f aca="false">IF(J$5="A",Inputs_Actuals!J107,J44*Client_Register!$R$18)</f>
        <v>4056.14</v>
      </c>
      <c r="K45" s="60" t="n">
        <f aca="false">IF(K$5="A",Inputs_Actuals!K107,K44*Client_Register!$R$18)</f>
        <v>3502.94</v>
      </c>
      <c r="L45" s="60" t="n">
        <f aca="false">IF(L$5="A",Inputs_Actuals!L107,L44*Client_Register!$R$18)</f>
        <v>3509.39</v>
      </c>
      <c r="M45" s="60" t="n">
        <f aca="false">IF(M$5="A",Inputs_Actuals!M107,M44*Client_Register!$R$18)</f>
        <v>4000</v>
      </c>
      <c r="N45" s="60" t="n">
        <f aca="false">IF(N$5="A",Inputs_Actuals!N107,N44*Client_Register!$R$18)</f>
        <v>4400</v>
      </c>
      <c r="O45" s="60" t="n">
        <f aca="false">IF(O$5="A",Inputs_Actuals!O107,O44*Client_Register!$R$18)</f>
        <v>5400</v>
      </c>
      <c r="P45" s="60" t="n">
        <f aca="false">IF(P$5="A",Inputs_Actuals!P107,P44*Client_Register!$R$18)</f>
        <v>4800</v>
      </c>
      <c r="Q45" s="60" t="n">
        <f aca="false">IF(Q$5="A",Inputs_Actuals!Q107,Q44*Client_Register!$R$18)</f>
        <v>3400</v>
      </c>
      <c r="R45" s="60" t="n">
        <f aca="false">IF(R$5="A",Inputs_Actuals!R107,R44*Client_Register!$R$18)</f>
        <v>3400</v>
      </c>
      <c r="S45" s="60" t="n">
        <f aca="false">IF(S$5="A",Inputs_Actuals!S107,S44*Client_Register!$R$18)</f>
        <v>3800</v>
      </c>
      <c r="T45" s="60" t="n">
        <f aca="false">IF(T$5="A",Inputs_Actuals!T107,T44*Client_Register!$R$18)</f>
        <v>4000</v>
      </c>
      <c r="U45" s="60" t="n">
        <f aca="false">IF(U$5="A",Inputs_Actuals!U107,U44*Client_Register!$R$18)</f>
        <v>4000</v>
      </c>
      <c r="V45" s="60" t="n">
        <f aca="false">IF(V$5="A",Inputs_Actuals!V107,V44*Client_Register!$R$18)</f>
        <v>3800</v>
      </c>
      <c r="W45" s="60" t="n">
        <f aca="false">IF(W$5="A",Inputs_Actuals!W107,W44*Client_Register!$R$18)</f>
        <v>3400</v>
      </c>
      <c r="X45" s="60" t="n">
        <f aca="false">IF(X$5="A",Inputs_Actuals!X107,X44*Client_Register!$R$18)</f>
        <v>3600</v>
      </c>
      <c r="Y45" s="60" t="n">
        <f aca="false">IF(Y$5="A",Inputs_Actuals!Y107,Y44*Client_Register!$R$18)</f>
        <v>4000</v>
      </c>
      <c r="Z45" s="60" t="n">
        <f aca="false">IF(Z$5="A",Inputs_Actuals!Z107,Z44*Client_Register!$R$18)</f>
        <v>3960</v>
      </c>
      <c r="AA45" s="60" t="n">
        <f aca="false">IF(AA$5="A",Inputs_Actuals!AA107,AA44*Client_Register!$R$18)</f>
        <v>4860</v>
      </c>
      <c r="AB45" s="60" t="n">
        <f aca="false">IF(AB$5="A",Inputs_Actuals!AB107,AB44*Client_Register!$R$18)</f>
        <v>4320</v>
      </c>
    </row>
    <row r="46" customFormat="false" ht="15" hidden="false" customHeight="false" outlineLevel="0" collapsed="false">
      <c r="A46" s="28" t="s">
        <v>1009</v>
      </c>
      <c r="B46" s="58" t="s">
        <v>1003</v>
      </c>
      <c r="C46" s="66" t="n">
        <f aca="false">SUM(E46:P46)</f>
        <v>540</v>
      </c>
      <c r="D46" s="66" t="n">
        <f aca="false">SUM(Q46:AB46)</f>
        <v>540</v>
      </c>
      <c r="E46" s="67" t="n">
        <f aca="false">Client_Register!$S$18*(E44&gt;0)</f>
        <v>45</v>
      </c>
      <c r="F46" s="67" t="n">
        <f aca="false">Client_Register!$S$18*(F44&gt;0)</f>
        <v>45</v>
      </c>
      <c r="G46" s="67" t="n">
        <f aca="false">Client_Register!$S$18*(G44&gt;0)</f>
        <v>45</v>
      </c>
      <c r="H46" s="67" t="n">
        <f aca="false">Client_Register!$S$18*(H44&gt;0)</f>
        <v>45</v>
      </c>
      <c r="I46" s="67" t="n">
        <f aca="false">Client_Register!$S$18*(I44&gt;0)</f>
        <v>45</v>
      </c>
      <c r="J46" s="67" t="n">
        <f aca="false">Client_Register!$S$18*(J44&gt;0)</f>
        <v>45</v>
      </c>
      <c r="K46" s="67" t="n">
        <f aca="false">Client_Register!$S$18*(K44&gt;0)</f>
        <v>45</v>
      </c>
      <c r="L46" s="67" t="n">
        <f aca="false">Client_Register!$S$18*(L44&gt;0)</f>
        <v>45</v>
      </c>
      <c r="M46" s="67" t="n">
        <f aca="false">Client_Register!$S$18*(M44&gt;0)</f>
        <v>45</v>
      </c>
      <c r="N46" s="67" t="n">
        <f aca="false">Client_Register!$S$18*(N44&gt;0)</f>
        <v>45</v>
      </c>
      <c r="O46" s="67" t="n">
        <f aca="false">Client_Register!$S$18*(O44&gt;0)</f>
        <v>45</v>
      </c>
      <c r="P46" s="67" t="n">
        <f aca="false">Client_Register!$S$18*(P44&gt;0)</f>
        <v>45</v>
      </c>
      <c r="Q46" s="67" t="n">
        <f aca="false">Client_Register!$S$18*(Q44&gt;0)</f>
        <v>45</v>
      </c>
      <c r="R46" s="67" t="n">
        <f aca="false">Client_Register!$S$18*(R44&gt;0)</f>
        <v>45</v>
      </c>
      <c r="S46" s="67" t="n">
        <f aca="false">Client_Register!$S$18*(S44&gt;0)</f>
        <v>45</v>
      </c>
      <c r="T46" s="67" t="n">
        <f aca="false">Client_Register!$S$18*(T44&gt;0)</f>
        <v>45</v>
      </c>
      <c r="U46" s="67" t="n">
        <f aca="false">Client_Register!$S$18*(U44&gt;0)</f>
        <v>45</v>
      </c>
      <c r="V46" s="67" t="n">
        <f aca="false">Client_Register!$S$18*(V44&gt;0)</f>
        <v>45</v>
      </c>
      <c r="W46" s="67" t="n">
        <f aca="false">Client_Register!$S$18*(W44&gt;0)</f>
        <v>45</v>
      </c>
      <c r="X46" s="67" t="n">
        <f aca="false">Client_Register!$S$18*(X44&gt;0)</f>
        <v>45</v>
      </c>
      <c r="Y46" s="67" t="n">
        <f aca="false">Client_Register!$S$18*(Y44&gt;0)</f>
        <v>45</v>
      </c>
      <c r="Z46" s="67" t="n">
        <f aca="false">Client_Register!$S$18*(Z44&gt;0)</f>
        <v>45</v>
      </c>
      <c r="AA46" s="67" t="n">
        <f aca="false">Client_Register!$S$18*(AA44&gt;0)</f>
        <v>45</v>
      </c>
      <c r="AB46" s="67" t="n">
        <f aca="false">Client_Register!$S$18*(AB44&gt;0)</f>
        <v>45</v>
      </c>
    </row>
    <row r="47" customFormat="false" ht="15" hidden="false" customHeight="false" outlineLevel="0" collapsed="false">
      <c r="A47" s="28" t="s">
        <v>1010</v>
      </c>
      <c r="B47" s="58" t="s">
        <v>999</v>
      </c>
      <c r="C47" s="59" t="n">
        <f aca="false">SUM(E47:P47)</f>
        <v>265173.93</v>
      </c>
      <c r="D47" s="59" t="n">
        <f aca="false">SUM(Q47:AB47)</f>
        <v>250800</v>
      </c>
      <c r="E47" s="60" t="n">
        <f aca="false">IF(E$5="A",Inputs_Actuals!E108,Client_Register!$Q$23*Assumptions!E$109*Assumptions!$F$121*Retainers!E109)</f>
        <v>17814.1</v>
      </c>
      <c r="F47" s="60" t="n">
        <f aca="false">IF(F$5="A",Inputs_Actuals!F108,Client_Register!$Q$23*Assumptions!F$109*Assumptions!$F$121*Retainers!F109)</f>
        <v>19471.68</v>
      </c>
      <c r="G47" s="60" t="n">
        <f aca="false">IF(G$5="A",Inputs_Actuals!G108,Client_Register!$Q$23*Assumptions!G$109*Assumptions!$F$121*Retainers!G109)</f>
        <v>20102.78</v>
      </c>
      <c r="H47" s="60" t="n">
        <f aca="false">IF(H$5="A",Inputs_Actuals!H108,Client_Register!$Q$23*Assumptions!H$109*Assumptions!$F$121*Retainers!H109)</f>
        <v>21367.75</v>
      </c>
      <c r="I47" s="60" t="n">
        <f aca="false">IF(I$5="A",Inputs_Actuals!I108,Client_Register!$Q$23*Assumptions!I$109*Assumptions!$F$121*Retainers!I109)</f>
        <v>20600.91</v>
      </c>
      <c r="J47" s="60" t="n">
        <f aca="false">IF(J$5="A",Inputs_Actuals!J108,Client_Register!$Q$23*Assumptions!J$109*Assumptions!$F$121*Retainers!J109)</f>
        <v>21373.1</v>
      </c>
      <c r="K47" s="60" t="n">
        <f aca="false">IF(K$5="A",Inputs_Actuals!K108,Client_Register!$Q$23*Assumptions!K$109*Assumptions!$F$121*Retainers!K109)</f>
        <v>20230.83</v>
      </c>
      <c r="L47" s="60" t="n">
        <f aca="false">IF(L$5="A",Inputs_Actuals!L108,Client_Register!$Q$23*Assumptions!L$109*Assumptions!$F$121*Retainers!L109)</f>
        <v>21912.78</v>
      </c>
      <c r="M47" s="60" t="n">
        <f aca="false">IF(M$5="A",Inputs_Actuals!M108,Client_Register!$Q$23*Assumptions!M$109*Assumptions!$F$121*Retainers!M109)</f>
        <v>22000</v>
      </c>
      <c r="N47" s="60" t="n">
        <f aca="false">IF(N$5="A",Inputs_Actuals!N108,Client_Register!$Q$23*Assumptions!N$109*Assumptions!$F$121*Retainers!N109)</f>
        <v>24200</v>
      </c>
      <c r="O47" s="60" t="n">
        <f aca="false">IF(O$5="A",Inputs_Actuals!O108,Client_Register!$Q$23*Assumptions!O$109*Assumptions!$F$121*Retainers!O109)</f>
        <v>29700</v>
      </c>
      <c r="P47" s="60" t="n">
        <f aca="false">IF(P$5="A",Inputs_Actuals!P108,Client_Register!$Q$23*Assumptions!P$109*Assumptions!$F$121*Retainers!P109)</f>
        <v>26400</v>
      </c>
      <c r="Q47" s="60" t="n">
        <f aca="false">IF(Q$5="A",Inputs_Actuals!Q108,Client_Register!$Q$23*Assumptions!Q$109*Assumptions!$F$121*Retainers!Q109)</f>
        <v>17765</v>
      </c>
      <c r="R47" s="60" t="n">
        <f aca="false">IF(R$5="A",Inputs_Actuals!R108,Client_Register!$Q$23*Assumptions!R$109*Assumptions!$F$121*Retainers!R109)</f>
        <v>17765</v>
      </c>
      <c r="S47" s="60" t="n">
        <f aca="false">IF(S$5="A",Inputs_Actuals!S108,Client_Register!$Q$23*Assumptions!S$109*Assumptions!$F$121*Retainers!S109)</f>
        <v>19855</v>
      </c>
      <c r="T47" s="60" t="n">
        <f aca="false">IF(T$5="A",Inputs_Actuals!T108,Client_Register!$Q$23*Assumptions!T$109*Assumptions!$F$121*Retainers!T109)</f>
        <v>20900</v>
      </c>
      <c r="U47" s="60" t="n">
        <f aca="false">IF(U$5="A",Inputs_Actuals!U108,Client_Register!$Q$23*Assumptions!U$109*Assumptions!$F$121*Retainers!U109)</f>
        <v>20900</v>
      </c>
      <c r="V47" s="60" t="n">
        <f aca="false">IF(V$5="A",Inputs_Actuals!V108,Client_Register!$Q$23*Assumptions!V$109*Assumptions!$F$121*Retainers!V109)</f>
        <v>19855</v>
      </c>
      <c r="W47" s="60" t="n">
        <f aca="false">IF(W$5="A",Inputs_Actuals!W108,Client_Register!$Q$23*Assumptions!W$109*Assumptions!$F$121*Retainers!W109)</f>
        <v>17765</v>
      </c>
      <c r="X47" s="60" t="n">
        <f aca="false">IF(X$5="A",Inputs_Actuals!X108,Client_Register!$Q$23*Assumptions!X$109*Assumptions!$F$121*Retainers!X109)</f>
        <v>18810</v>
      </c>
      <c r="Y47" s="60" t="n">
        <f aca="false">IF(Y$5="A",Inputs_Actuals!Y108,Client_Register!$Q$23*Assumptions!Y$109*Assumptions!$F$121*Retainers!Y109)</f>
        <v>20900</v>
      </c>
      <c r="Z47" s="60" t="n">
        <f aca="false">IF(Z$5="A",Inputs_Actuals!Z108,Client_Register!$Q$23*Assumptions!Z$109*Assumptions!$F$121*Retainers!Z109)</f>
        <v>22990</v>
      </c>
      <c r="AA47" s="60" t="n">
        <f aca="false">IF(AA$5="A",Inputs_Actuals!AA108,Client_Register!$Q$23*Assumptions!AA$109*Assumptions!$F$121*Retainers!AA109)</f>
        <v>28215</v>
      </c>
      <c r="AB47" s="60" t="n">
        <f aca="false">IF(AB$5="A",Inputs_Actuals!AB108,Client_Register!$Q$23*Assumptions!AB$109*Assumptions!$F$121*Retainers!AB109)</f>
        <v>25080</v>
      </c>
    </row>
    <row r="48" customFormat="false" ht="15" hidden="false" customHeight="false" outlineLevel="0" collapsed="false">
      <c r="A48" s="28" t="s">
        <v>1011</v>
      </c>
      <c r="B48" s="58" t="s">
        <v>1001</v>
      </c>
      <c r="C48" s="59" t="n">
        <f aca="false">SUM(E48:P48)</f>
        <v>31820.86</v>
      </c>
      <c r="D48" s="59" t="n">
        <f aca="false">SUM(Q48:AB48)</f>
        <v>30096</v>
      </c>
      <c r="E48" s="60" t="n">
        <f aca="false">IF(E$5="A",Inputs_Actuals!E109,E47*Client_Register!$R$23)</f>
        <v>2137.69</v>
      </c>
      <c r="F48" s="60" t="n">
        <f aca="false">IF(F$5="A",Inputs_Actuals!F109,F47*Client_Register!$R$23)</f>
        <v>2336.6</v>
      </c>
      <c r="G48" s="60" t="n">
        <f aca="false">IF(G$5="A",Inputs_Actuals!G109,G47*Client_Register!$R$23)</f>
        <v>2412.33</v>
      </c>
      <c r="H48" s="60" t="n">
        <f aca="false">IF(H$5="A",Inputs_Actuals!H109,H47*Client_Register!$R$23)</f>
        <v>2564.13</v>
      </c>
      <c r="I48" s="60" t="n">
        <f aca="false">IF(I$5="A",Inputs_Actuals!I109,I47*Client_Register!$R$23)</f>
        <v>2472.11</v>
      </c>
      <c r="J48" s="60" t="n">
        <f aca="false">IF(J$5="A",Inputs_Actuals!J109,J47*Client_Register!$R$23)</f>
        <v>2564.77</v>
      </c>
      <c r="K48" s="60" t="n">
        <f aca="false">IF(K$5="A",Inputs_Actuals!K109,K47*Client_Register!$R$23)</f>
        <v>2427.7</v>
      </c>
      <c r="L48" s="60" t="n">
        <f aca="false">IF(L$5="A",Inputs_Actuals!L109,L47*Client_Register!$R$23)</f>
        <v>2629.53</v>
      </c>
      <c r="M48" s="60" t="n">
        <f aca="false">IF(M$5="A",Inputs_Actuals!M109,M47*Client_Register!$R$23)</f>
        <v>2640</v>
      </c>
      <c r="N48" s="60" t="n">
        <f aca="false">IF(N$5="A",Inputs_Actuals!N109,N47*Client_Register!$R$23)</f>
        <v>2904</v>
      </c>
      <c r="O48" s="60" t="n">
        <f aca="false">IF(O$5="A",Inputs_Actuals!O109,O47*Client_Register!$R$23)</f>
        <v>3564</v>
      </c>
      <c r="P48" s="60" t="n">
        <f aca="false">IF(P$5="A",Inputs_Actuals!P109,P47*Client_Register!$R$23)</f>
        <v>3168</v>
      </c>
      <c r="Q48" s="60" t="n">
        <f aca="false">IF(Q$5="A",Inputs_Actuals!Q109,Q47*Client_Register!$R$23)</f>
        <v>2131.8</v>
      </c>
      <c r="R48" s="60" t="n">
        <f aca="false">IF(R$5="A",Inputs_Actuals!R109,R47*Client_Register!$R$23)</f>
        <v>2131.8</v>
      </c>
      <c r="S48" s="60" t="n">
        <f aca="false">IF(S$5="A",Inputs_Actuals!S109,S47*Client_Register!$R$23)</f>
        <v>2382.6</v>
      </c>
      <c r="T48" s="60" t="n">
        <f aca="false">IF(T$5="A",Inputs_Actuals!T109,T47*Client_Register!$R$23)</f>
        <v>2508</v>
      </c>
      <c r="U48" s="60" t="n">
        <f aca="false">IF(U$5="A",Inputs_Actuals!U109,U47*Client_Register!$R$23)</f>
        <v>2508</v>
      </c>
      <c r="V48" s="60" t="n">
        <f aca="false">IF(V$5="A",Inputs_Actuals!V109,V47*Client_Register!$R$23)</f>
        <v>2382.6</v>
      </c>
      <c r="W48" s="60" t="n">
        <f aca="false">IF(W$5="A",Inputs_Actuals!W109,W47*Client_Register!$R$23)</f>
        <v>2131.8</v>
      </c>
      <c r="X48" s="60" t="n">
        <f aca="false">IF(X$5="A",Inputs_Actuals!X109,X47*Client_Register!$R$23)</f>
        <v>2257.2</v>
      </c>
      <c r="Y48" s="60" t="n">
        <f aca="false">IF(Y$5="A",Inputs_Actuals!Y109,Y47*Client_Register!$R$23)</f>
        <v>2508</v>
      </c>
      <c r="Z48" s="60" t="n">
        <f aca="false">IF(Z$5="A",Inputs_Actuals!Z109,Z47*Client_Register!$R$23)</f>
        <v>2758.8</v>
      </c>
      <c r="AA48" s="60" t="n">
        <f aca="false">IF(AA$5="A",Inputs_Actuals!AA109,AA47*Client_Register!$R$23)</f>
        <v>3385.8</v>
      </c>
      <c r="AB48" s="60" t="n">
        <f aca="false">IF(AB$5="A",Inputs_Actuals!AB109,AB47*Client_Register!$R$23)</f>
        <v>3009.6</v>
      </c>
    </row>
    <row r="49" customFormat="false" ht="15" hidden="false" customHeight="false" outlineLevel="0" collapsed="false">
      <c r="A49" s="28" t="s">
        <v>1012</v>
      </c>
      <c r="B49" s="58" t="s">
        <v>1003</v>
      </c>
      <c r="C49" s="66" t="n">
        <f aca="false">SUM(E49:P49)</f>
        <v>360</v>
      </c>
      <c r="D49" s="66" t="n">
        <f aca="false">SUM(Q49:AB49)</f>
        <v>360</v>
      </c>
      <c r="E49" s="67" t="n">
        <f aca="false">Client_Register!$S$23*(E47&gt;0)</f>
        <v>30</v>
      </c>
      <c r="F49" s="67" t="n">
        <f aca="false">Client_Register!$S$23*(F47&gt;0)</f>
        <v>30</v>
      </c>
      <c r="G49" s="67" t="n">
        <f aca="false">Client_Register!$S$23*(G47&gt;0)</f>
        <v>30</v>
      </c>
      <c r="H49" s="67" t="n">
        <f aca="false">Client_Register!$S$23*(H47&gt;0)</f>
        <v>30</v>
      </c>
      <c r="I49" s="67" t="n">
        <f aca="false">Client_Register!$S$23*(I47&gt;0)</f>
        <v>30</v>
      </c>
      <c r="J49" s="67" t="n">
        <f aca="false">Client_Register!$S$23*(J47&gt;0)</f>
        <v>30</v>
      </c>
      <c r="K49" s="67" t="n">
        <f aca="false">Client_Register!$S$23*(K47&gt;0)</f>
        <v>30</v>
      </c>
      <c r="L49" s="67" t="n">
        <f aca="false">Client_Register!$S$23*(L47&gt;0)</f>
        <v>30</v>
      </c>
      <c r="M49" s="67" t="n">
        <f aca="false">Client_Register!$S$23*(M47&gt;0)</f>
        <v>30</v>
      </c>
      <c r="N49" s="67" t="n">
        <f aca="false">Client_Register!$S$23*(N47&gt;0)</f>
        <v>30</v>
      </c>
      <c r="O49" s="67" t="n">
        <f aca="false">Client_Register!$S$23*(O47&gt;0)</f>
        <v>30</v>
      </c>
      <c r="P49" s="67" t="n">
        <f aca="false">Client_Register!$S$23*(P47&gt;0)</f>
        <v>30</v>
      </c>
      <c r="Q49" s="67" t="n">
        <f aca="false">Client_Register!$S$23*(Q47&gt;0)</f>
        <v>30</v>
      </c>
      <c r="R49" s="67" t="n">
        <f aca="false">Client_Register!$S$23*(R47&gt;0)</f>
        <v>30</v>
      </c>
      <c r="S49" s="67" t="n">
        <f aca="false">Client_Register!$S$23*(S47&gt;0)</f>
        <v>30</v>
      </c>
      <c r="T49" s="67" t="n">
        <f aca="false">Client_Register!$S$23*(T47&gt;0)</f>
        <v>30</v>
      </c>
      <c r="U49" s="67" t="n">
        <f aca="false">Client_Register!$S$23*(U47&gt;0)</f>
        <v>30</v>
      </c>
      <c r="V49" s="67" t="n">
        <f aca="false">Client_Register!$S$23*(V47&gt;0)</f>
        <v>30</v>
      </c>
      <c r="W49" s="67" t="n">
        <f aca="false">Client_Register!$S$23*(W47&gt;0)</f>
        <v>30</v>
      </c>
      <c r="X49" s="67" t="n">
        <f aca="false">Client_Register!$S$23*(X47&gt;0)</f>
        <v>30</v>
      </c>
      <c r="Y49" s="67" t="n">
        <f aca="false">Client_Register!$S$23*(Y47&gt;0)</f>
        <v>30</v>
      </c>
      <c r="Z49" s="67" t="n">
        <f aca="false">Client_Register!$S$23*(Z47&gt;0)</f>
        <v>30</v>
      </c>
      <c r="AA49" s="67" t="n">
        <f aca="false">Client_Register!$S$23*(AA47&gt;0)</f>
        <v>30</v>
      </c>
      <c r="AB49" s="67" t="n">
        <f aca="false">Client_Register!$S$23*(AB47&gt;0)</f>
        <v>30</v>
      </c>
    </row>
    <row r="50" customFormat="false" ht="15" hidden="false" customHeight="false" outlineLevel="0" collapsed="false">
      <c r="A50" s="28" t="s">
        <v>1013</v>
      </c>
      <c r="B50" s="58" t="s">
        <v>999</v>
      </c>
      <c r="C50" s="59" t="n">
        <f aca="false">SUM(E50:P50)</f>
        <v>362997.99</v>
      </c>
      <c r="D50" s="59" t="n">
        <f aca="false">SUM(Q50:AB50)</f>
        <v>313650</v>
      </c>
      <c r="E50" s="60" t="n">
        <f aca="false">IF(E$5="A",Inputs_Actuals!E110,Client_Register!$Q$19*Assumptions!E$109*Assumptions!$F$121*Retainers!E89)</f>
        <v>26297.13</v>
      </c>
      <c r="F50" s="60" t="n">
        <f aca="false">IF(F$5="A",Inputs_Actuals!F110,Client_Register!$Q$19*Assumptions!F$109*Assumptions!$F$121*Retainers!F89)</f>
        <v>26644.31</v>
      </c>
      <c r="G50" s="60" t="n">
        <f aca="false">IF(G$5="A",Inputs_Actuals!G110,Client_Register!$Q$19*Assumptions!G$109*Assumptions!$F$121*Retainers!G89)</f>
        <v>28793.82</v>
      </c>
      <c r="H50" s="60" t="n">
        <f aca="false">IF(H$5="A",Inputs_Actuals!H110,Client_Register!$Q$19*Assumptions!H$109*Assumptions!$F$121*Retainers!H89)</f>
        <v>30973.38</v>
      </c>
      <c r="I50" s="60" t="n">
        <f aca="false">IF(I$5="A",Inputs_Actuals!I110,Client_Register!$Q$19*Assumptions!I$109*Assumptions!$F$121*Retainers!I89)</f>
        <v>31211.42</v>
      </c>
      <c r="J50" s="60" t="n">
        <f aca="false">IF(J$5="A",Inputs_Actuals!J110,Client_Register!$Q$19*Assumptions!J$109*Assumptions!$F$121*Retainers!J89)</f>
        <v>29702.68</v>
      </c>
      <c r="K50" s="60" t="n">
        <f aca="false">IF(K$5="A",Inputs_Actuals!K110,Client_Register!$Q$19*Assumptions!K$109*Assumptions!$F$121*Retainers!K89)</f>
        <v>24993.32</v>
      </c>
      <c r="L50" s="60" t="n">
        <f aca="false">IF(L$5="A",Inputs_Actuals!L110,Client_Register!$Q$19*Assumptions!L$109*Assumptions!$F$121*Retainers!L89)</f>
        <v>24881.93</v>
      </c>
      <c r="M50" s="60" t="n">
        <f aca="false">IF(M$5="A",Inputs_Actuals!M110,Client_Register!$Q$19*Assumptions!M$109*Assumptions!$F$121*Retainers!M89)</f>
        <v>30000</v>
      </c>
      <c r="N50" s="60" t="n">
        <f aca="false">IF(N$5="A",Inputs_Actuals!N110,Client_Register!$Q$19*Assumptions!N$109*Assumptions!$F$121*Retainers!N89)</f>
        <v>33000</v>
      </c>
      <c r="O50" s="60" t="n">
        <f aca="false">IF(O$5="A",Inputs_Actuals!O110,Client_Register!$Q$19*Assumptions!O$109*Assumptions!$F$121*Retainers!O89)</f>
        <v>40500</v>
      </c>
      <c r="P50" s="60" t="n">
        <f aca="false">IF(P$5="A",Inputs_Actuals!P110,Client_Register!$Q$19*Assumptions!P$109*Assumptions!$F$121*Retainers!P89)</f>
        <v>36000</v>
      </c>
      <c r="Q50" s="60" t="n">
        <f aca="false">IF(Q$5="A",Inputs_Actuals!Q110,Client_Register!$Q$19*Assumptions!Q$109*Assumptions!$F$121*Retainers!Q89)</f>
        <v>25500</v>
      </c>
      <c r="R50" s="60" t="n">
        <f aca="false">IF(R$5="A",Inputs_Actuals!R110,Client_Register!$Q$19*Assumptions!R$109*Assumptions!$F$121*Retainers!R89)</f>
        <v>25500</v>
      </c>
      <c r="S50" s="60" t="n">
        <f aca="false">IF(S$5="A",Inputs_Actuals!S110,Client_Register!$Q$19*Assumptions!S$109*Assumptions!$F$121*Retainers!S89)</f>
        <v>24225</v>
      </c>
      <c r="T50" s="60" t="n">
        <f aca="false">IF(T$5="A",Inputs_Actuals!T110,Client_Register!$Q$19*Assumptions!T$109*Assumptions!$F$121*Retainers!T89)</f>
        <v>25500</v>
      </c>
      <c r="U50" s="60" t="n">
        <f aca="false">IF(U$5="A",Inputs_Actuals!U110,Client_Register!$Q$19*Assumptions!U$109*Assumptions!$F$121*Retainers!U89)</f>
        <v>25500</v>
      </c>
      <c r="V50" s="60" t="n">
        <f aca="false">IF(V$5="A",Inputs_Actuals!V110,Client_Register!$Q$19*Assumptions!V$109*Assumptions!$F$121*Retainers!V89)</f>
        <v>24225</v>
      </c>
      <c r="W50" s="60" t="n">
        <f aca="false">IF(W$5="A",Inputs_Actuals!W110,Client_Register!$Q$19*Assumptions!W$109*Assumptions!$F$121*Retainers!W89)</f>
        <v>21675</v>
      </c>
      <c r="X50" s="60" t="n">
        <f aca="false">IF(X$5="A",Inputs_Actuals!X110,Client_Register!$Q$19*Assumptions!X$109*Assumptions!$F$121*Retainers!X89)</f>
        <v>22950</v>
      </c>
      <c r="Y50" s="60" t="n">
        <f aca="false">IF(Y$5="A",Inputs_Actuals!Y110,Client_Register!$Q$19*Assumptions!Y$109*Assumptions!$F$121*Retainers!Y89)</f>
        <v>25500</v>
      </c>
      <c r="Z50" s="60" t="n">
        <f aca="false">IF(Z$5="A",Inputs_Actuals!Z110,Client_Register!$Q$19*Assumptions!Z$109*Assumptions!$F$121*Retainers!Z89)</f>
        <v>28050</v>
      </c>
      <c r="AA50" s="60" t="n">
        <f aca="false">IF(AA$5="A",Inputs_Actuals!AA110,Client_Register!$Q$19*Assumptions!AA$109*Assumptions!$F$121*Retainers!AA89)</f>
        <v>34425</v>
      </c>
      <c r="AB50" s="60" t="n">
        <f aca="false">IF(AB$5="A",Inputs_Actuals!AB110,Client_Register!$Q$19*Assumptions!AB$109*Assumptions!$F$121*Retainers!AB89)</f>
        <v>30600</v>
      </c>
    </row>
    <row r="51" customFormat="false" ht="15" hidden="false" customHeight="false" outlineLevel="0" collapsed="false">
      <c r="A51" s="28" t="s">
        <v>1014</v>
      </c>
      <c r="B51" s="58" t="s">
        <v>1001</v>
      </c>
      <c r="C51" s="59" t="n">
        <f aca="false">SUM(E51:P51)</f>
        <v>36299.79</v>
      </c>
      <c r="D51" s="59" t="n">
        <f aca="false">SUM(Q51:AB51)</f>
        <v>31365</v>
      </c>
      <c r="E51" s="60" t="n">
        <f aca="false">IF(E$5="A",Inputs_Actuals!E111,E50*Client_Register!$R$19)</f>
        <v>2629.71</v>
      </c>
      <c r="F51" s="60" t="n">
        <f aca="false">IF(F$5="A",Inputs_Actuals!F111,F50*Client_Register!$R$19)</f>
        <v>2664.43</v>
      </c>
      <c r="G51" s="60" t="n">
        <f aca="false">IF(G$5="A",Inputs_Actuals!G111,G50*Client_Register!$R$19)</f>
        <v>2879.38</v>
      </c>
      <c r="H51" s="60" t="n">
        <f aca="false">IF(H$5="A",Inputs_Actuals!H111,H50*Client_Register!$R$19)</f>
        <v>3097.34</v>
      </c>
      <c r="I51" s="60" t="n">
        <f aca="false">IF(I$5="A",Inputs_Actuals!I111,I50*Client_Register!$R$19)</f>
        <v>3121.14</v>
      </c>
      <c r="J51" s="60" t="n">
        <f aca="false">IF(J$5="A",Inputs_Actuals!J111,J50*Client_Register!$R$19)</f>
        <v>2970.27</v>
      </c>
      <c r="K51" s="60" t="n">
        <f aca="false">IF(K$5="A",Inputs_Actuals!K111,K50*Client_Register!$R$19)</f>
        <v>2499.33</v>
      </c>
      <c r="L51" s="60" t="n">
        <f aca="false">IF(L$5="A",Inputs_Actuals!L111,L50*Client_Register!$R$19)</f>
        <v>2488.19</v>
      </c>
      <c r="M51" s="60" t="n">
        <f aca="false">IF(M$5="A",Inputs_Actuals!M111,M50*Client_Register!$R$19)</f>
        <v>3000</v>
      </c>
      <c r="N51" s="60" t="n">
        <f aca="false">IF(N$5="A",Inputs_Actuals!N111,N50*Client_Register!$R$19)</f>
        <v>3300</v>
      </c>
      <c r="O51" s="60" t="n">
        <f aca="false">IF(O$5="A",Inputs_Actuals!O111,O50*Client_Register!$R$19)</f>
        <v>4050</v>
      </c>
      <c r="P51" s="60" t="n">
        <f aca="false">IF(P$5="A",Inputs_Actuals!P111,P50*Client_Register!$R$19)</f>
        <v>3600</v>
      </c>
      <c r="Q51" s="60" t="n">
        <f aca="false">IF(Q$5="A",Inputs_Actuals!Q111,Q50*Client_Register!$R$19)</f>
        <v>2550</v>
      </c>
      <c r="R51" s="60" t="n">
        <f aca="false">IF(R$5="A",Inputs_Actuals!R111,R50*Client_Register!$R$19)</f>
        <v>2550</v>
      </c>
      <c r="S51" s="60" t="n">
        <f aca="false">IF(S$5="A",Inputs_Actuals!S111,S50*Client_Register!$R$19)</f>
        <v>2422.5</v>
      </c>
      <c r="T51" s="60" t="n">
        <f aca="false">IF(T$5="A",Inputs_Actuals!T111,T50*Client_Register!$R$19)</f>
        <v>2550</v>
      </c>
      <c r="U51" s="60" t="n">
        <f aca="false">IF(U$5="A",Inputs_Actuals!U111,U50*Client_Register!$R$19)</f>
        <v>2550</v>
      </c>
      <c r="V51" s="60" t="n">
        <f aca="false">IF(V$5="A",Inputs_Actuals!V111,V50*Client_Register!$R$19)</f>
        <v>2422.5</v>
      </c>
      <c r="W51" s="60" t="n">
        <f aca="false">IF(W$5="A",Inputs_Actuals!W111,W50*Client_Register!$R$19)</f>
        <v>2167.5</v>
      </c>
      <c r="X51" s="60" t="n">
        <f aca="false">IF(X$5="A",Inputs_Actuals!X111,X50*Client_Register!$R$19)</f>
        <v>2295</v>
      </c>
      <c r="Y51" s="60" t="n">
        <f aca="false">IF(Y$5="A",Inputs_Actuals!Y111,Y50*Client_Register!$R$19)</f>
        <v>2550</v>
      </c>
      <c r="Z51" s="60" t="n">
        <f aca="false">IF(Z$5="A",Inputs_Actuals!Z111,Z50*Client_Register!$R$19)</f>
        <v>2805</v>
      </c>
      <c r="AA51" s="60" t="n">
        <f aca="false">IF(AA$5="A",Inputs_Actuals!AA111,AA50*Client_Register!$R$19)</f>
        <v>3442.5</v>
      </c>
      <c r="AB51" s="60" t="n">
        <f aca="false">IF(AB$5="A",Inputs_Actuals!AB111,AB50*Client_Register!$R$19)</f>
        <v>3060</v>
      </c>
    </row>
    <row r="52" customFormat="false" ht="15" hidden="false" customHeight="false" outlineLevel="0" collapsed="false">
      <c r="A52" s="28" t="s">
        <v>1015</v>
      </c>
      <c r="B52" s="58" t="s">
        <v>1003</v>
      </c>
      <c r="C52" s="66" t="n">
        <f aca="false">SUM(E52:P52)</f>
        <v>480</v>
      </c>
      <c r="D52" s="66" t="n">
        <f aca="false">SUM(Q52:AB52)</f>
        <v>480</v>
      </c>
      <c r="E52" s="67" t="n">
        <f aca="false">Client_Register!$S$19*(E50&gt;0)</f>
        <v>40</v>
      </c>
      <c r="F52" s="67" t="n">
        <f aca="false">Client_Register!$S$19*(F50&gt;0)</f>
        <v>40</v>
      </c>
      <c r="G52" s="67" t="n">
        <f aca="false">Client_Register!$S$19*(G50&gt;0)</f>
        <v>40</v>
      </c>
      <c r="H52" s="67" t="n">
        <f aca="false">Client_Register!$S$19*(H50&gt;0)</f>
        <v>40</v>
      </c>
      <c r="I52" s="67" t="n">
        <f aca="false">Client_Register!$S$19*(I50&gt;0)</f>
        <v>40</v>
      </c>
      <c r="J52" s="67" t="n">
        <f aca="false">Client_Register!$S$19*(J50&gt;0)</f>
        <v>40</v>
      </c>
      <c r="K52" s="67" t="n">
        <f aca="false">Client_Register!$S$19*(K50&gt;0)</f>
        <v>40</v>
      </c>
      <c r="L52" s="67" t="n">
        <f aca="false">Client_Register!$S$19*(L50&gt;0)</f>
        <v>40</v>
      </c>
      <c r="M52" s="67" t="n">
        <f aca="false">Client_Register!$S$19*(M50&gt;0)</f>
        <v>40</v>
      </c>
      <c r="N52" s="67" t="n">
        <f aca="false">Client_Register!$S$19*(N50&gt;0)</f>
        <v>40</v>
      </c>
      <c r="O52" s="67" t="n">
        <f aca="false">Client_Register!$S$19*(O50&gt;0)</f>
        <v>40</v>
      </c>
      <c r="P52" s="67" t="n">
        <f aca="false">Client_Register!$S$19*(P50&gt;0)</f>
        <v>40</v>
      </c>
      <c r="Q52" s="67" t="n">
        <f aca="false">Client_Register!$S$19*(Q50&gt;0)</f>
        <v>40</v>
      </c>
      <c r="R52" s="67" t="n">
        <f aca="false">Client_Register!$S$19*(R50&gt;0)</f>
        <v>40</v>
      </c>
      <c r="S52" s="67" t="n">
        <f aca="false">Client_Register!$S$19*(S50&gt;0)</f>
        <v>40</v>
      </c>
      <c r="T52" s="67" t="n">
        <f aca="false">Client_Register!$S$19*(T50&gt;0)</f>
        <v>40</v>
      </c>
      <c r="U52" s="67" t="n">
        <f aca="false">Client_Register!$S$19*(U50&gt;0)</f>
        <v>40</v>
      </c>
      <c r="V52" s="67" t="n">
        <f aca="false">Client_Register!$S$19*(V50&gt;0)</f>
        <v>40</v>
      </c>
      <c r="W52" s="67" t="n">
        <f aca="false">Client_Register!$S$19*(W50&gt;0)</f>
        <v>40</v>
      </c>
      <c r="X52" s="67" t="n">
        <f aca="false">Client_Register!$S$19*(X50&gt;0)</f>
        <v>40</v>
      </c>
      <c r="Y52" s="67" t="n">
        <f aca="false">Client_Register!$S$19*(Y50&gt;0)</f>
        <v>40</v>
      </c>
      <c r="Z52" s="67" t="n">
        <f aca="false">Client_Register!$S$19*(Z50&gt;0)</f>
        <v>40</v>
      </c>
      <c r="AA52" s="67" t="n">
        <f aca="false">Client_Register!$S$19*(AA50&gt;0)</f>
        <v>40</v>
      </c>
      <c r="AB52" s="67" t="n">
        <f aca="false">Client_Register!$S$19*(AB50&gt;0)</f>
        <v>40</v>
      </c>
    </row>
    <row r="53" customFormat="false" ht="15" hidden="false" customHeight="false" outlineLevel="0" collapsed="false">
      <c r="A53" s="68" t="s">
        <v>1016</v>
      </c>
      <c r="B53" s="69"/>
      <c r="C53" s="70" t="n">
        <f aca="false">SUM(E53:P53)</f>
        <v>2843386.04554491</v>
      </c>
      <c r="D53" s="70" t="n">
        <f aca="false">SUM(Q53:AB53)</f>
        <v>2622087.00058067</v>
      </c>
      <c r="E53" s="74" t="n">
        <f aca="false">E38/FX!E9+E41/FX!E11+E44/1+E47/1+E50/1</f>
        <v>197458.804184592</v>
      </c>
      <c r="F53" s="74" t="n">
        <f aca="false">F38/FX!F9+F41/FX!F11+F44/1+F47/1+F50/1</f>
        <v>195290.574677948</v>
      </c>
      <c r="G53" s="74" t="n">
        <f aca="false">G38/FX!G9+G41/FX!G11+G44/1+G47/1+G50/1</f>
        <v>219059.502541731</v>
      </c>
      <c r="H53" s="74" t="n">
        <f aca="false">H38/FX!H9+H41/FX!H11+H44/1+H47/1+H50/1</f>
        <v>241000.88979419</v>
      </c>
      <c r="I53" s="74" t="n">
        <f aca="false">I38/FX!I9+I41/FX!I11+I44/1+I47/1+I50/1</f>
        <v>234907.794493685</v>
      </c>
      <c r="J53" s="74" t="n">
        <f aca="false">J38/FX!J9+J41/FX!J11+J44/1+J47/1+J50/1</f>
        <v>223392.85069</v>
      </c>
      <c r="K53" s="74" t="n">
        <f aca="false">K38/FX!K9+K41/FX!K11+K44/1+K47/1+K50/1</f>
        <v>214762.265464155</v>
      </c>
      <c r="L53" s="74" t="n">
        <f aca="false">L38/FX!L9+L41/FX!L11+L44/1+L47/1+L50/1</f>
        <v>230207.131333784</v>
      </c>
      <c r="M53" s="74" t="n">
        <f aca="false">M38/FX!M9+M41/FX!M11+M44/1+M47/1+M50/1</f>
        <v>233829.297282758</v>
      </c>
      <c r="N53" s="74" t="n">
        <f aca="false">N38/FX!N9+N41/FX!N11+N44/1+N47/1+N50/1</f>
        <v>257212.227011034</v>
      </c>
      <c r="O53" s="74" t="n">
        <f aca="false">O38/FX!O9+O41/FX!O11+O44/1+O47/1+O50/1</f>
        <v>315669.551331724</v>
      </c>
      <c r="P53" s="74" t="n">
        <f aca="false">P38/FX!P9+P41/FX!P11+P44/1+P47/1+P50/1</f>
        <v>280595.15673931</v>
      </c>
      <c r="Q53" s="74" t="n">
        <f aca="false">Q38/FX!Q9+Q41/FX!Q11+Q44/1+Q47/1+Q50/1</f>
        <v>197819.902690345</v>
      </c>
      <c r="R53" s="74" t="n">
        <f aca="false">R38/FX!R9+R41/FX!R11+R44/1+R47/1+R50/1</f>
        <v>197819.902690345</v>
      </c>
      <c r="S53" s="74" t="n">
        <f aca="false">S38/FX!S9+S41/FX!S11+S44/1+S47/1+S50/1</f>
        <v>216817.83241862</v>
      </c>
      <c r="T53" s="74" t="n">
        <f aca="false">T38/FX!T9+T41/FX!T11+T44/1+T47/1+T50/1</f>
        <v>221807.664553448</v>
      </c>
      <c r="U53" s="74" t="n">
        <f aca="false">U38/FX!U9+U41/FX!U11+U44/1+U47/1+U50/1</f>
        <v>221807.664553448</v>
      </c>
      <c r="V53" s="74" t="n">
        <f aca="false">V38/FX!V9+V41/FX!V11+V44/1+V47/1+V50/1</f>
        <v>210717.281325775</v>
      </c>
      <c r="W53" s="74" t="n">
        <f aca="false">W38/FX!W9+W41/FX!W11+W44/1+W47/1+W50/1</f>
        <v>181939.41242131</v>
      </c>
      <c r="X53" s="74" t="n">
        <f aca="false">X38/FX!X9+X41/FX!X11+X44/1+X47/1+X50/1</f>
        <v>192641.730799034</v>
      </c>
      <c r="Y53" s="74" t="n">
        <f aca="false">Y38/FX!Y9+Y41/FX!Y11+Y44/1+Y47/1+Y50/1</f>
        <v>214046.367554482</v>
      </c>
      <c r="Z53" s="74" t="n">
        <f aca="false">Z38/FX!Z9+Z41/FX!Z11+Z44/1+Z47/1+Z50/1</f>
        <v>231051.004309931</v>
      </c>
      <c r="AA53" s="74" t="n">
        <f aca="false">AA38/FX!AA9+AA41/FX!AA11+AA44/1+AA47/1+AA50/1</f>
        <v>283562.596198551</v>
      </c>
      <c r="AB53" s="74" t="n">
        <f aca="false">AB38/FX!AB9+AB41/FX!AB11+AB44/1+AB47/1+AB50/1</f>
        <v>252055.641065379</v>
      </c>
    </row>
    <row r="54" customFormat="false" ht="15" hidden="false" customHeight="false" outlineLevel="0" collapsed="false">
      <c r="A54" s="68" t="s">
        <v>1017</v>
      </c>
      <c r="B54" s="69"/>
      <c r="C54" s="70" t="n">
        <f aca="false">SUM(E54:P54)</f>
        <v>280289.668687739</v>
      </c>
      <c r="D54" s="70" t="n">
        <f aca="false">SUM(Q54:AB54)</f>
        <v>258407.866667242</v>
      </c>
      <c r="E54" s="74" t="n">
        <f aca="false">E39/FX!E9+E42/FX!E11+E45/1+E48/1+E51/1</f>
        <v>19530.4067272156</v>
      </c>
      <c r="F54" s="74" t="n">
        <f aca="false">F39/FX!F9+F42/FX!F11+F45/1+F48/1+F51/1</f>
        <v>19335.026841061</v>
      </c>
      <c r="G54" s="74" t="n">
        <f aca="false">G39/FX!G9+G42/FX!G11+G45/1+G48/1+G51/1</f>
        <v>21595.50157138</v>
      </c>
      <c r="H54" s="74" t="n">
        <f aca="false">H39/FX!H9+H42/FX!H11+H45/1+H48/1+H51/1</f>
        <v>23771.4365009715</v>
      </c>
      <c r="I54" s="74" t="n">
        <f aca="false">I39/FX!I9+I42/FX!I11+I45/1+I48/1+I51/1</f>
        <v>23099.434037206</v>
      </c>
      <c r="J54" s="74" t="n">
        <f aca="false">J39/FX!J9+J42/FX!J11+J45/1+J48/1+J51/1</f>
        <v>22018.8784102158</v>
      </c>
      <c r="K54" s="74" t="n">
        <f aca="false">K39/FX!K9+K42/FX!K11+K45/1+K48/1+K51/1</f>
        <v>21094.5727899577</v>
      </c>
      <c r="L54" s="74" t="n">
        <f aca="false">L39/FX!L9+L42/FX!L11+L45/1+L48/1+L51/1</f>
        <v>22676.7916777673</v>
      </c>
      <c r="M54" s="74" t="n">
        <f aca="false">M39/FX!M9+M42/FX!M11+M45/1+M48/1+M51/1</f>
        <v>23046.8000283793</v>
      </c>
      <c r="N54" s="74" t="n">
        <f aca="false">N39/FX!N9+N42/FX!N11+N45/1+N48/1+N51/1</f>
        <v>25351.4800312172</v>
      </c>
      <c r="O54" s="74" t="n">
        <f aca="false">O39/FX!O9+O42/FX!O11+O45/1+O48/1+O51/1</f>
        <v>31113.1800383121</v>
      </c>
      <c r="P54" s="74" t="n">
        <f aca="false">P39/FX!P9+P42/FX!P11+P45/1+P48/1+P51/1</f>
        <v>27656.1600340552</v>
      </c>
      <c r="Q54" s="74" t="n">
        <f aca="false">Q39/FX!Q9+Q42/FX!Q11+Q45/1+Q48/1+Q51/1</f>
        <v>19477.5800241224</v>
      </c>
      <c r="R54" s="74" t="n">
        <f aca="false">R39/FX!R9+R42/FX!R11+R45/1+R48/1+R51/1</f>
        <v>19477.5800241224</v>
      </c>
      <c r="S54" s="74" t="n">
        <f aca="false">S39/FX!S9+S42/FX!S11+S45/1+S48/1+S51/1</f>
        <v>21341.5600269603</v>
      </c>
      <c r="T54" s="74" t="n">
        <f aca="false">T39/FX!T9+T42/FX!T11+T45/1+T48/1+T51/1</f>
        <v>21822.6367554482</v>
      </c>
      <c r="U54" s="74" t="n">
        <f aca="false">U39/FX!U9+U42/FX!U11+U45/1+U48/1+U51/1</f>
        <v>21822.6367554482</v>
      </c>
      <c r="V54" s="74" t="n">
        <f aca="false">V39/FX!V9+V42/FX!V11+V45/1+V48/1+V51/1</f>
        <v>20731.5049176758</v>
      </c>
      <c r="W54" s="74" t="n">
        <f aca="false">W39/FX!W9+W42/FX!W11+W45/1+W48/1+W51/1</f>
        <v>17955.5020217102</v>
      </c>
      <c r="X54" s="74" t="n">
        <f aca="false">X39/FX!X9+X42/FX!X11+X45/1+X48/1+X51/1</f>
        <v>19011.7080229872</v>
      </c>
      <c r="Y54" s="74" t="n">
        <f aca="false">Y39/FX!Y9+Y42/FX!Y11+Y45/1+Y48/1+Y51/1</f>
        <v>21124.1200255414</v>
      </c>
      <c r="Z54" s="74" t="n">
        <f aca="false">Z39/FX!Z9+Z42/FX!Z11+Z45/1+Z48/1+Z51/1</f>
        <v>22796.5320280955</v>
      </c>
      <c r="AA54" s="74" t="n">
        <f aca="false">AA39/FX!AA9+AA42/FX!AA11+AA45/1+AA48/1+AA51/1</f>
        <v>27977.5620344809</v>
      </c>
      <c r="AB54" s="74" t="n">
        <f aca="false">AB39/FX!AB9+AB42/FX!AB11+AB45/1+AB48/1+AB51/1</f>
        <v>24868.9440306497</v>
      </c>
    </row>
    <row r="55" customFormat="false" ht="15" hidden="false" customHeight="false" outlineLevel="0" collapsed="false">
      <c r="A55" s="28" t="s">
        <v>476</v>
      </c>
      <c r="B55" s="58"/>
      <c r="C55" s="66" t="n">
        <f aca="false">SUM(E55:P55)</f>
        <v>2940</v>
      </c>
      <c r="D55" s="66" t="n">
        <f aca="false">SUM(Q55:AB55)</f>
        <v>2940</v>
      </c>
      <c r="E55" s="72" t="n">
        <f aca="false">E40+E43+E46+E49+E52</f>
        <v>245</v>
      </c>
      <c r="F55" s="72" t="n">
        <f aca="false">F40+F43+F46+F49+F52</f>
        <v>245</v>
      </c>
      <c r="G55" s="72" t="n">
        <f aca="false">G40+G43+G46+G49+G52</f>
        <v>245</v>
      </c>
      <c r="H55" s="72" t="n">
        <f aca="false">H40+H43+H46+H49+H52</f>
        <v>245</v>
      </c>
      <c r="I55" s="72" t="n">
        <f aca="false">I40+I43+I46+I49+I52</f>
        <v>245</v>
      </c>
      <c r="J55" s="72" t="n">
        <f aca="false">J40+J43+J46+J49+J52</f>
        <v>245</v>
      </c>
      <c r="K55" s="72" t="n">
        <f aca="false">K40+K43+K46+K49+K52</f>
        <v>245</v>
      </c>
      <c r="L55" s="72" t="n">
        <f aca="false">L40+L43+L46+L49+L52</f>
        <v>245</v>
      </c>
      <c r="M55" s="72" t="n">
        <f aca="false">M40+M43+M46+M49+M52</f>
        <v>245</v>
      </c>
      <c r="N55" s="72" t="n">
        <f aca="false">N40+N43+N46+N49+N52</f>
        <v>245</v>
      </c>
      <c r="O55" s="72" t="n">
        <f aca="false">O40+O43+O46+O49+O52</f>
        <v>245</v>
      </c>
      <c r="P55" s="72" t="n">
        <f aca="false">P40+P43+P46+P49+P52</f>
        <v>245</v>
      </c>
      <c r="Q55" s="72" t="n">
        <f aca="false">Q40+Q43+Q46+Q49+Q52</f>
        <v>245</v>
      </c>
      <c r="R55" s="72" t="n">
        <f aca="false">R40+R43+R46+R49+R52</f>
        <v>245</v>
      </c>
      <c r="S55" s="72" t="n">
        <f aca="false">S40+S43+S46+S49+S52</f>
        <v>245</v>
      </c>
      <c r="T55" s="72" t="n">
        <f aca="false">T40+T43+T46+T49+T52</f>
        <v>245</v>
      </c>
      <c r="U55" s="72" t="n">
        <f aca="false">U40+U43+U46+U49+U52</f>
        <v>245</v>
      </c>
      <c r="V55" s="72" t="n">
        <f aca="false">V40+V43+V46+V49+V52</f>
        <v>245</v>
      </c>
      <c r="W55" s="72" t="n">
        <f aca="false">W40+W43+W46+W49+W52</f>
        <v>245</v>
      </c>
      <c r="X55" s="72" t="n">
        <f aca="false">X40+X43+X46+X49+X52</f>
        <v>245</v>
      </c>
      <c r="Y55" s="72" t="n">
        <f aca="false">Y40+Y43+Y46+Y49+Y52</f>
        <v>245</v>
      </c>
      <c r="Z55" s="72" t="n">
        <f aca="false">Z40+Z43+Z46+Z49+Z52</f>
        <v>245</v>
      </c>
      <c r="AA55" s="72" t="n">
        <f aca="false">AA40+AA43+AA46+AA49+AA52</f>
        <v>245</v>
      </c>
      <c r="AB55" s="72" t="n">
        <f aca="false">AB40+AB43+AB46+AB49+AB52</f>
        <v>245</v>
      </c>
    </row>
    <row r="56" customFormat="false" ht="15" hidden="false" customHeight="false" outlineLevel="0" collapsed="false">
      <c r="A56" s="28" t="s">
        <v>1018</v>
      </c>
      <c r="B56" s="58"/>
      <c r="C56" s="61" t="n">
        <f aca="false">IF(C53=0,0,C54/C53)</f>
        <v>0.0985760161293974</v>
      </c>
      <c r="D56" s="61" t="n">
        <f aca="false">IF(D53=0,0,D54/D53)</f>
        <v>0.0985504548895659</v>
      </c>
      <c r="E56" s="62" t="n">
        <f aca="false">IF(E53=0,0,E54/E53)</f>
        <v>0.0989087663518807</v>
      </c>
      <c r="F56" s="62" t="n">
        <f aca="false">IF(F53=0,0,F54/F53)</f>
        <v>0.0990064516577223</v>
      </c>
      <c r="G56" s="62" t="n">
        <f aca="false">IF(G53=0,0,G54/G53)</f>
        <v>0.0985828111577405</v>
      </c>
      <c r="H56" s="62" t="n">
        <f aca="false">IF(H53=0,0,H54/H53)</f>
        <v>0.0986363018048266</v>
      </c>
      <c r="I56" s="62" t="n">
        <f aca="false">IF(I53=0,0,I54/I53)</f>
        <v>0.09833404671392</v>
      </c>
      <c r="J56" s="62" t="n">
        <f aca="false">IF(J53=0,0,J54/J53)</f>
        <v>0.0985657255467463</v>
      </c>
      <c r="K56" s="62" t="n">
        <f aca="false">IF(K53=0,0,K54/K53)</f>
        <v>0.0982229012362436</v>
      </c>
      <c r="L56" s="62" t="n">
        <f aca="false">IF(L53=0,0,L54/L53)</f>
        <v>0.0985060347452377</v>
      </c>
      <c r="M56" s="62" t="n">
        <f aca="false">IF(M53=0,0,M54/M53)</f>
        <v>0.0985624996362622</v>
      </c>
      <c r="N56" s="62" t="n">
        <f aca="false">IF(N53=0,0,N54/N53)</f>
        <v>0.0985624996362622</v>
      </c>
      <c r="O56" s="62" t="n">
        <f aca="false">IF(O53=0,0,O54/O53)</f>
        <v>0.0985624996362622</v>
      </c>
      <c r="P56" s="62" t="n">
        <f aca="false">IF(P53=0,0,P54/P53)</f>
        <v>0.0985624996362622</v>
      </c>
      <c r="Q56" s="62" t="n">
        <f aca="false">IF(Q53=0,0,Q54/Q53)</f>
        <v>0.0984611748324002</v>
      </c>
      <c r="R56" s="62" t="n">
        <f aca="false">IF(R53=0,0,R54/R53)</f>
        <v>0.0984611748324002</v>
      </c>
      <c r="S56" s="62" t="n">
        <f aca="false">IF(S53=0,0,S54/S53)</f>
        <v>0.0984308337967109</v>
      </c>
      <c r="T56" s="62" t="n">
        <f aca="false">IF(T53=0,0,T54/T53)</f>
        <v>0.0983854043068461</v>
      </c>
      <c r="U56" s="62" t="n">
        <f aca="false">IF(U53=0,0,U54/U53)</f>
        <v>0.0983854043068461</v>
      </c>
      <c r="V56" s="62" t="n">
        <f aca="false">IF(V53=0,0,V54/V53)</f>
        <v>0.0983854043068461</v>
      </c>
      <c r="W56" s="62" t="n">
        <f aca="false">IF(W53=0,0,W54/W53)</f>
        <v>0.0986894581154924</v>
      </c>
      <c r="X56" s="62" t="n">
        <f aca="false">IF(X53=0,0,X54/X53)</f>
        <v>0.0986894581154924</v>
      </c>
      <c r="Y56" s="62" t="n">
        <f aca="false">IF(Y53=0,0,Y54/Y53)</f>
        <v>0.0986894581154924</v>
      </c>
      <c r="Z56" s="62" t="n">
        <f aca="false">IF(Z53=0,0,Z54/Z53)</f>
        <v>0.0986645009234254</v>
      </c>
      <c r="AA56" s="62" t="n">
        <f aca="false">IF(AA53=0,0,AA54/AA53)</f>
        <v>0.0986645009234254</v>
      </c>
      <c r="AB56" s="62" t="n">
        <f aca="false">IF(AB53=0,0,AB54/AB53)</f>
        <v>0.0986645009234254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9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1019</v>
      </c>
    </row>
    <row r="3" customFormat="false" ht="15" hidden="false" customHeight="false" outlineLevel="0" collapsed="false">
      <c r="A3" s="49" t="s">
        <v>1020</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1021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1022</v>
      </c>
      <c r="B9" s="58" t="s">
        <v>708</v>
      </c>
      <c r="C9" s="66" t="n">
        <f aca="false">SUM(E9:P9)</f>
        <v>7711.18208333333</v>
      </c>
      <c r="D9" s="66" t="n">
        <f aca="false">SUM(Q9:AB9)</f>
        <v>7037.172875</v>
      </c>
      <c r="E9" s="67" t="n">
        <f aca="false">Retainers!E161</f>
        <v>616.6</v>
      </c>
      <c r="F9" s="67" t="n">
        <f aca="false">Retainers!F161</f>
        <v>606.5</v>
      </c>
      <c r="G9" s="67" t="n">
        <f aca="false">Retainers!G161</f>
        <v>610.6</v>
      </c>
      <c r="H9" s="67" t="n">
        <f aca="false">Retainers!H161</f>
        <v>600.5</v>
      </c>
      <c r="I9" s="67" t="n">
        <f aca="false">Retainers!I161</f>
        <v>596.7</v>
      </c>
      <c r="J9" s="67" t="n">
        <f aca="false">Retainers!J161</f>
        <v>751.2</v>
      </c>
      <c r="K9" s="67" t="n">
        <f aca="false">Retainers!K161</f>
        <v>751.3</v>
      </c>
      <c r="L9" s="67" t="n">
        <f aca="false">Retainers!L161</f>
        <v>762.2</v>
      </c>
      <c r="M9" s="67" t="n">
        <f aca="false">Retainers!M161</f>
        <v>723.654583333333</v>
      </c>
      <c r="N9" s="67" t="n">
        <f aca="false">Retainers!N161</f>
        <v>563.975833333333</v>
      </c>
      <c r="O9" s="67" t="n">
        <f aca="false">Retainers!O161</f>
        <v>563.975833333333</v>
      </c>
      <c r="P9" s="67" t="n">
        <f aca="false">Retainers!P161</f>
        <v>563.975833333333</v>
      </c>
      <c r="Q9" s="67" t="n">
        <f aca="false">Retainers!Q161</f>
        <v>530.219270833333</v>
      </c>
      <c r="R9" s="67" t="n">
        <f aca="false">Retainers!R161</f>
        <v>530.219270833333</v>
      </c>
      <c r="S9" s="67" t="n">
        <f aca="false">Retainers!S161</f>
        <v>530.219270833333</v>
      </c>
      <c r="T9" s="67" t="n">
        <f aca="false">Retainers!T161</f>
        <v>559.372395833333</v>
      </c>
      <c r="U9" s="67" t="n">
        <f aca="false">Retainers!U161</f>
        <v>559.372395833333</v>
      </c>
      <c r="V9" s="67" t="n">
        <f aca="false">Retainers!V161</f>
        <v>618.252895833333</v>
      </c>
      <c r="W9" s="67" t="n">
        <f aca="false">Retainers!W161</f>
        <v>618.252895833333</v>
      </c>
      <c r="X9" s="67" t="n">
        <f aca="false">Retainers!X161</f>
        <v>618.252895833333</v>
      </c>
      <c r="Y9" s="67" t="n">
        <f aca="false">Retainers!Y161</f>
        <v>618.252895833333</v>
      </c>
      <c r="Z9" s="67" t="n">
        <f aca="false">Retainers!Z161</f>
        <v>618.252895833333</v>
      </c>
      <c r="AA9" s="67" t="n">
        <f aca="false">Retainers!AA161</f>
        <v>618.252895833333</v>
      </c>
      <c r="AB9" s="67" t="n">
        <f aca="false">Retainers!AB161</f>
        <v>618.252895833333</v>
      </c>
    </row>
    <row r="10" customFormat="false" ht="15" hidden="false" customHeight="false" outlineLevel="0" collapsed="false">
      <c r="A10" s="28" t="s">
        <v>1023</v>
      </c>
      <c r="B10" s="58" t="s">
        <v>708</v>
      </c>
      <c r="C10" s="66" t="n">
        <f aca="false">SUM(E10:P10)</f>
        <v>6345.87</v>
      </c>
      <c r="D10" s="66" t="n">
        <f aca="false">SUM(Q10:AB10)</f>
        <v>6281.759625</v>
      </c>
      <c r="E10" s="67" t="n">
        <f aca="false">Retainers!E164</f>
        <v>538.7</v>
      </c>
      <c r="F10" s="67" t="n">
        <f aca="false">Retainers!F164</f>
        <v>521.4</v>
      </c>
      <c r="G10" s="67" t="n">
        <f aca="false">Retainers!G164</f>
        <v>532.9</v>
      </c>
      <c r="H10" s="67" t="n">
        <f aca="false">Retainers!H164</f>
        <v>527.5</v>
      </c>
      <c r="I10" s="67" t="n">
        <f aca="false">Retainers!I164</f>
        <v>540.9</v>
      </c>
      <c r="J10" s="67" t="n">
        <f aca="false">Retainers!J164</f>
        <v>523.3</v>
      </c>
      <c r="K10" s="67" t="n">
        <f aca="false">Retainers!K164</f>
        <v>538.5</v>
      </c>
      <c r="L10" s="67" t="n">
        <f aca="false">Retainers!L164</f>
        <v>533</v>
      </c>
      <c r="M10" s="67" t="n">
        <f aca="false">Retainers!M164</f>
        <v>522.4175</v>
      </c>
      <c r="N10" s="67" t="n">
        <f aca="false">Retainers!N164</f>
        <v>522.4175</v>
      </c>
      <c r="O10" s="67" t="n">
        <f aca="false">Retainers!O164</f>
        <v>522.4175</v>
      </c>
      <c r="P10" s="67" t="n">
        <f aca="false">Retainers!P164</f>
        <v>522.4175</v>
      </c>
      <c r="Q10" s="67" t="n">
        <f aca="false">Retainers!Q164</f>
        <v>517.468875</v>
      </c>
      <c r="R10" s="67" t="n">
        <f aca="false">Retainers!R164</f>
        <v>517.468875</v>
      </c>
      <c r="S10" s="67" t="n">
        <f aca="false">Retainers!S164</f>
        <v>535.798125</v>
      </c>
      <c r="T10" s="67" t="n">
        <f aca="false">Retainers!T164</f>
        <v>535.798125</v>
      </c>
      <c r="U10" s="67" t="n">
        <f aca="false">Retainers!U164</f>
        <v>535.798125</v>
      </c>
      <c r="V10" s="67" t="n">
        <f aca="false">Retainers!V164</f>
        <v>535.798125</v>
      </c>
      <c r="W10" s="67" t="n">
        <f aca="false">Retainers!W164</f>
        <v>525.809</v>
      </c>
      <c r="X10" s="67" t="n">
        <f aca="false">Retainers!X164</f>
        <v>525.809</v>
      </c>
      <c r="Y10" s="67" t="n">
        <f aca="false">Retainers!Y164</f>
        <v>525.809</v>
      </c>
      <c r="Z10" s="67" t="n">
        <f aca="false">Retainers!Z164</f>
        <v>508.734125</v>
      </c>
      <c r="AA10" s="67" t="n">
        <f aca="false">Retainers!AA164</f>
        <v>508.734125</v>
      </c>
      <c r="AB10" s="67" t="n">
        <f aca="false">Retainers!AB164</f>
        <v>508.734125</v>
      </c>
    </row>
    <row r="11" customFormat="false" ht="15" hidden="false" customHeight="false" outlineLevel="0" collapsed="false">
      <c r="A11" s="28" t="s">
        <v>1024</v>
      </c>
      <c r="B11" s="58" t="s">
        <v>708</v>
      </c>
      <c r="C11" s="66" t="n">
        <f aca="false">SUM(E11:P11)</f>
        <v>10511.292</v>
      </c>
      <c r="D11" s="66" t="n">
        <f aca="false">SUM(Q11:AB11)</f>
        <v>11412.64905</v>
      </c>
      <c r="E11" s="67" t="n">
        <f aca="false">Retainers!E167</f>
        <v>724.3</v>
      </c>
      <c r="F11" s="67" t="n">
        <f aca="false">Retainers!F167</f>
        <v>710.4</v>
      </c>
      <c r="G11" s="67" t="n">
        <f aca="false">Retainers!G167</f>
        <v>714.3</v>
      </c>
      <c r="H11" s="67" t="n">
        <f aca="false">Retainers!H167</f>
        <v>952.1</v>
      </c>
      <c r="I11" s="67" t="n">
        <f aca="false">Retainers!I167</f>
        <v>946.2</v>
      </c>
      <c r="J11" s="67" t="n">
        <f aca="false">Retainers!J167</f>
        <v>929.8</v>
      </c>
      <c r="K11" s="67" t="n">
        <f aca="false">Retainers!K167</f>
        <v>946.3</v>
      </c>
      <c r="L11" s="67" t="n">
        <f aca="false">Retainers!L167</f>
        <v>929.7</v>
      </c>
      <c r="M11" s="67" t="n">
        <f aca="false">Retainers!M167</f>
        <v>914.548</v>
      </c>
      <c r="N11" s="67" t="n">
        <f aca="false">Retainers!N167</f>
        <v>914.548</v>
      </c>
      <c r="O11" s="67" t="n">
        <f aca="false">Retainers!O167</f>
        <v>914.548</v>
      </c>
      <c r="P11" s="67" t="n">
        <f aca="false">Retainers!P167</f>
        <v>914.548</v>
      </c>
      <c r="Q11" s="67" t="n">
        <f aca="false">Retainers!Q167</f>
        <v>978.898</v>
      </c>
      <c r="R11" s="67" t="n">
        <f aca="false">Retainers!R167</f>
        <v>978.898</v>
      </c>
      <c r="S11" s="67" t="n">
        <f aca="false">Retainers!S167</f>
        <v>978.898</v>
      </c>
      <c r="T11" s="67" t="n">
        <f aca="false">Retainers!T167</f>
        <v>955.2742</v>
      </c>
      <c r="U11" s="67" t="n">
        <f aca="false">Retainers!U167</f>
        <v>955.2742</v>
      </c>
      <c r="V11" s="67" t="n">
        <f aca="false">Retainers!V167</f>
        <v>955.2742</v>
      </c>
      <c r="W11" s="67" t="n">
        <f aca="false">Retainers!W167</f>
        <v>935.022075</v>
      </c>
      <c r="X11" s="67" t="n">
        <f aca="false">Retainers!X167</f>
        <v>935.022075</v>
      </c>
      <c r="Y11" s="67" t="n">
        <f aca="false">Retainers!Y167</f>
        <v>935.022075</v>
      </c>
      <c r="Z11" s="67" t="n">
        <f aca="false">Retainers!Z167</f>
        <v>935.022075</v>
      </c>
      <c r="AA11" s="67" t="n">
        <f aca="false">Retainers!AA167</f>
        <v>935.022075</v>
      </c>
      <c r="AB11" s="67" t="n">
        <f aca="false">Retainers!AB167</f>
        <v>935.022075</v>
      </c>
    </row>
    <row r="12" customFormat="false" ht="15" hidden="false" customHeight="false" outlineLevel="0" collapsed="false">
      <c r="A12" s="28" t="s">
        <v>496</v>
      </c>
      <c r="B12" s="58" t="s">
        <v>708</v>
      </c>
      <c r="C12" s="66" t="n">
        <f aca="false">SUM(E12:P12)</f>
        <v>9730.28194444445</v>
      </c>
      <c r="D12" s="66" t="n">
        <f aca="false">SUM(Q12:AB12)</f>
        <v>9068.95805555556</v>
      </c>
      <c r="E12" s="67" t="n">
        <f aca="false">Projects!E310</f>
        <v>635.3</v>
      </c>
      <c r="F12" s="67" t="n">
        <f aca="false">Projects!F310</f>
        <v>511.2</v>
      </c>
      <c r="G12" s="67" t="n">
        <f aca="false">Projects!G310</f>
        <v>549.2</v>
      </c>
      <c r="H12" s="67" t="n">
        <f aca="false">Projects!H310</f>
        <v>585.3</v>
      </c>
      <c r="I12" s="67" t="n">
        <f aca="false">Projects!I310</f>
        <v>819</v>
      </c>
      <c r="J12" s="67" t="n">
        <f aca="false">Projects!J310</f>
        <v>1085.9</v>
      </c>
      <c r="K12" s="67" t="n">
        <f aca="false">Projects!K310</f>
        <v>1158.7</v>
      </c>
      <c r="L12" s="67" t="n">
        <f aca="false">Projects!L310</f>
        <v>1203.6</v>
      </c>
      <c r="M12" s="67" t="n">
        <f aca="false">Projects!M310</f>
        <v>1141.21068265471</v>
      </c>
      <c r="N12" s="67" t="n">
        <f aca="false">Projects!N310</f>
        <v>909.23700253048</v>
      </c>
      <c r="O12" s="67" t="n">
        <f aca="false">Projects!O310</f>
        <v>675.87037037037</v>
      </c>
      <c r="P12" s="67" t="n">
        <f aca="false">Projects!P310</f>
        <v>455.763888888889</v>
      </c>
      <c r="Q12" s="67" t="n">
        <f aca="false">Projects!Q310</f>
        <v>460.438055555556</v>
      </c>
      <c r="R12" s="67" t="n">
        <f aca="false">Projects!R310</f>
        <v>716.35765468092</v>
      </c>
      <c r="S12" s="67" t="n">
        <f aca="false">Projects!S310</f>
        <v>877.515978835979</v>
      </c>
      <c r="T12" s="67" t="n">
        <f aca="false">Projects!T310</f>
        <v>994.720306662348</v>
      </c>
      <c r="U12" s="67" t="n">
        <f aca="false">Projects!U310</f>
        <v>976.646934456322</v>
      </c>
      <c r="V12" s="67" t="n">
        <f aca="false">Projects!V310</f>
        <v>851.073639995681</v>
      </c>
      <c r="W12" s="67" t="n">
        <f aca="false">Projects!W310</f>
        <v>890.884867724868</v>
      </c>
      <c r="X12" s="67" t="n">
        <f aca="false">Projects!X310</f>
        <v>767.640617643883</v>
      </c>
      <c r="Y12" s="67" t="n">
        <f aca="false">Projects!Y310</f>
        <v>578.68</v>
      </c>
      <c r="Z12" s="67" t="n">
        <f aca="false">Projects!Z310</f>
        <v>688.16</v>
      </c>
      <c r="AA12" s="67" t="n">
        <f aca="false">Projects!AA310</f>
        <v>688.16</v>
      </c>
      <c r="AB12" s="67" t="n">
        <f aca="false">Projects!AB310</f>
        <v>578.68</v>
      </c>
    </row>
    <row r="13" customFormat="false" ht="15" hidden="false" customHeight="false" outlineLevel="0" collapsed="false">
      <c r="A13" s="28" t="s">
        <v>333</v>
      </c>
      <c r="B13" s="58" t="s">
        <v>708</v>
      </c>
      <c r="C13" s="66" t="n">
        <f aca="false">SUM(E13:P13)</f>
        <v>5146.23210586882</v>
      </c>
      <c r="D13" s="66" t="n">
        <f aca="false">SUM(Q13:AB13)</f>
        <v>5880</v>
      </c>
      <c r="E13" s="67" t="n">
        <f aca="false">TM_Media!E33</f>
        <v>373.4</v>
      </c>
      <c r="F13" s="67" t="n">
        <f aca="false">TM_Media!F33</f>
        <v>334.2</v>
      </c>
      <c r="G13" s="67" t="n">
        <f aca="false">TM_Media!G33</f>
        <v>452.4</v>
      </c>
      <c r="H13" s="67" t="n">
        <f aca="false">TM_Media!H33</f>
        <v>427.2</v>
      </c>
      <c r="I13" s="67" t="n">
        <f aca="false">TM_Media!I33</f>
        <v>420</v>
      </c>
      <c r="J13" s="67" t="n">
        <f aca="false">TM_Media!J33</f>
        <v>422.9</v>
      </c>
      <c r="K13" s="67" t="n">
        <f aca="false">TM_Media!K33</f>
        <v>329.3</v>
      </c>
      <c r="L13" s="67" t="n">
        <f aca="false">TM_Media!L33</f>
        <v>435.9</v>
      </c>
      <c r="M13" s="67" t="n">
        <f aca="false">TM_Media!M33</f>
        <v>469.090909090909</v>
      </c>
      <c r="N13" s="67" t="n">
        <f aca="false">TM_Media!N33</f>
        <v>554.844649021864</v>
      </c>
      <c r="O13" s="67" t="n">
        <f aca="false">TM_Media!O33</f>
        <v>514.246260069045</v>
      </c>
      <c r="P13" s="67" t="n">
        <f aca="false">TM_Media!P33</f>
        <v>412.750287686997</v>
      </c>
      <c r="Q13" s="67" t="n">
        <f aca="false">TM_Media!Q33</f>
        <v>514.246260069045</v>
      </c>
      <c r="R13" s="67" t="n">
        <f aca="false">TM_Media!R33</f>
        <v>493.947065592635</v>
      </c>
      <c r="S13" s="67" t="n">
        <f aca="false">TM_Media!S33</f>
        <v>534.545454545455</v>
      </c>
      <c r="T13" s="67" t="n">
        <f aca="false">TM_Media!T33</f>
        <v>507.479861910242</v>
      </c>
      <c r="U13" s="67" t="n">
        <f aca="false">TM_Media!U33</f>
        <v>507.479861910242</v>
      </c>
      <c r="V13" s="67" t="n">
        <f aca="false">TM_Media!V33</f>
        <v>466.881472957422</v>
      </c>
      <c r="W13" s="67" t="n">
        <f aca="false">TM_Media!W33</f>
        <v>378.91829689298</v>
      </c>
      <c r="X13" s="67" t="n">
        <f aca="false">TM_Media!X33</f>
        <v>460.115074798619</v>
      </c>
      <c r="Y13" s="67" t="n">
        <f aca="false">TM_Media!Y33</f>
        <v>534.545454545455</v>
      </c>
      <c r="Z13" s="67" t="n">
        <f aca="false">TM_Media!Z33</f>
        <v>554.844649021864</v>
      </c>
      <c r="AA13" s="67" t="n">
        <f aca="false">TM_Media!AA33</f>
        <v>514.246260069045</v>
      </c>
      <c r="AB13" s="67" t="n">
        <f aca="false">TM_Media!AB33</f>
        <v>412.750287686997</v>
      </c>
    </row>
    <row r="14" customFormat="false" ht="15" hidden="false" customHeight="false" outlineLevel="0" collapsed="false">
      <c r="A14" s="28" t="s">
        <v>497</v>
      </c>
      <c r="B14" s="58" t="s">
        <v>708</v>
      </c>
      <c r="C14" s="66" t="n">
        <f aca="false">SUM(E14:P14)</f>
        <v>2940</v>
      </c>
      <c r="D14" s="66" t="n">
        <f aca="false">SUM(Q14:AB14)</f>
        <v>2940</v>
      </c>
      <c r="E14" s="67" t="n">
        <f aca="false">TM_Media!E55</f>
        <v>245</v>
      </c>
      <c r="F14" s="67" t="n">
        <f aca="false">TM_Media!F55</f>
        <v>245</v>
      </c>
      <c r="G14" s="67" t="n">
        <f aca="false">TM_Media!G55</f>
        <v>245</v>
      </c>
      <c r="H14" s="67" t="n">
        <f aca="false">TM_Media!H55</f>
        <v>245</v>
      </c>
      <c r="I14" s="67" t="n">
        <f aca="false">TM_Media!I55</f>
        <v>245</v>
      </c>
      <c r="J14" s="67" t="n">
        <f aca="false">TM_Media!J55</f>
        <v>245</v>
      </c>
      <c r="K14" s="67" t="n">
        <f aca="false">TM_Media!K55</f>
        <v>245</v>
      </c>
      <c r="L14" s="67" t="n">
        <f aca="false">TM_Media!L55</f>
        <v>245</v>
      </c>
      <c r="M14" s="67" t="n">
        <f aca="false">TM_Media!M55</f>
        <v>245</v>
      </c>
      <c r="N14" s="67" t="n">
        <f aca="false">TM_Media!N55</f>
        <v>245</v>
      </c>
      <c r="O14" s="67" t="n">
        <f aca="false">TM_Media!O55</f>
        <v>245</v>
      </c>
      <c r="P14" s="67" t="n">
        <f aca="false">TM_Media!P55</f>
        <v>245</v>
      </c>
      <c r="Q14" s="67" t="n">
        <f aca="false">TM_Media!Q55</f>
        <v>245</v>
      </c>
      <c r="R14" s="67" t="n">
        <f aca="false">TM_Media!R55</f>
        <v>245</v>
      </c>
      <c r="S14" s="67" t="n">
        <f aca="false">TM_Media!S55</f>
        <v>245</v>
      </c>
      <c r="T14" s="67" t="n">
        <f aca="false">TM_Media!T55</f>
        <v>245</v>
      </c>
      <c r="U14" s="67" t="n">
        <f aca="false">TM_Media!U55</f>
        <v>245</v>
      </c>
      <c r="V14" s="67" t="n">
        <f aca="false">TM_Media!V55</f>
        <v>245</v>
      </c>
      <c r="W14" s="67" t="n">
        <f aca="false">TM_Media!W55</f>
        <v>245</v>
      </c>
      <c r="X14" s="67" t="n">
        <f aca="false">TM_Media!X55</f>
        <v>245</v>
      </c>
      <c r="Y14" s="67" t="n">
        <f aca="false">TM_Media!Y55</f>
        <v>245</v>
      </c>
      <c r="Z14" s="67" t="n">
        <f aca="false">TM_Media!Z55</f>
        <v>245</v>
      </c>
      <c r="AA14" s="67" t="n">
        <f aca="false">TM_Media!AA55</f>
        <v>245</v>
      </c>
      <c r="AB14" s="67" t="n">
        <f aca="false">TM_Media!AB55</f>
        <v>245</v>
      </c>
    </row>
    <row r="15" customFormat="false" ht="15" hidden="false" customHeight="false" outlineLevel="0" collapsed="false">
      <c r="A15" s="68" t="s">
        <v>1025</v>
      </c>
      <c r="B15" s="69"/>
      <c r="C15" s="114" t="n">
        <f aca="false">SUM(E15:P15)</f>
        <v>42384.8581336466</v>
      </c>
      <c r="D15" s="114" t="n">
        <f aca="false">SUM(Q15:AB15)</f>
        <v>42620.5396055556</v>
      </c>
      <c r="E15" s="114" t="n">
        <f aca="false">E9+E10+E11+E12+E13+E14</f>
        <v>3133.3</v>
      </c>
      <c r="F15" s="114" t="n">
        <f aca="false">F9+F10+F11+F12+F13+F14</f>
        <v>2928.7</v>
      </c>
      <c r="G15" s="114" t="n">
        <f aca="false">G9+G10+G11+G12+G13+G14</f>
        <v>3104.4</v>
      </c>
      <c r="H15" s="114" t="n">
        <f aca="false">H9+H10+H11+H12+H13+H14</f>
        <v>3337.6</v>
      </c>
      <c r="I15" s="114" t="n">
        <f aca="false">I9+I10+I11+I12+I13+I14</f>
        <v>3567.8</v>
      </c>
      <c r="J15" s="114" t="n">
        <f aca="false">J9+J10+J11+J12+J13+J14</f>
        <v>3958.1</v>
      </c>
      <c r="K15" s="114" t="n">
        <f aca="false">K9+K10+K11+K12+K13+K14</f>
        <v>3969.1</v>
      </c>
      <c r="L15" s="114" t="n">
        <f aca="false">L9+L10+L11+L12+L13+L14</f>
        <v>4109.4</v>
      </c>
      <c r="M15" s="114" t="n">
        <f aca="false">M9+M10+M11+M12+M13+M14</f>
        <v>4015.92167507895</v>
      </c>
      <c r="N15" s="114" t="n">
        <f aca="false">N9+N10+N11+N12+N13+N14</f>
        <v>3710.02298488568</v>
      </c>
      <c r="O15" s="114" t="n">
        <f aca="false">O9+O10+O11+O12+O13+O14</f>
        <v>3436.05796377275</v>
      </c>
      <c r="P15" s="114" t="n">
        <f aca="false">P9+P10+P11+P12+P13+P14</f>
        <v>3114.45550990922</v>
      </c>
      <c r="Q15" s="114" t="n">
        <f aca="false">Q9+Q10+Q11+Q12+Q13+Q14</f>
        <v>3246.27046145793</v>
      </c>
      <c r="R15" s="114" t="n">
        <f aca="false">R9+R10+R11+R12+R13+R14</f>
        <v>3481.89086610689</v>
      </c>
      <c r="S15" s="114" t="n">
        <f aca="false">S9+S10+S11+S12+S13+S14</f>
        <v>3701.97682921477</v>
      </c>
      <c r="T15" s="114" t="n">
        <f aca="false">T9+T10+T11+T12+T13+T14</f>
        <v>3797.64488940592</v>
      </c>
      <c r="U15" s="114" t="n">
        <f aca="false">U9+U10+U11+U12+U13+U14</f>
        <v>3779.5715171999</v>
      </c>
      <c r="V15" s="114" t="n">
        <f aca="false">V9+V10+V11+V12+V13+V14</f>
        <v>3672.28033378644</v>
      </c>
      <c r="W15" s="114" t="n">
        <f aca="false">W9+W10+W11+W12+W13+W14</f>
        <v>3593.88713545118</v>
      </c>
      <c r="X15" s="114" t="n">
        <f aca="false">X9+X10+X11+X12+X13+X14</f>
        <v>3551.83966327584</v>
      </c>
      <c r="Y15" s="114" t="n">
        <f aca="false">Y9+Y10+Y11+Y12+Y13+Y14</f>
        <v>3437.30942537879</v>
      </c>
      <c r="Z15" s="114" t="n">
        <f aca="false">Z9+Z10+Z11+Z12+Z13+Z14</f>
        <v>3550.0137448552</v>
      </c>
      <c r="AA15" s="114" t="n">
        <f aca="false">AA9+AA10+AA11+AA12+AA13+AA14</f>
        <v>3509.41535590238</v>
      </c>
      <c r="AB15" s="114" t="n">
        <f aca="false">AB9+AB10+AB11+AB12+AB13+AB14</f>
        <v>3298.43938352033</v>
      </c>
    </row>
    <row r="16" customFormat="false" ht="15" hidden="false" customHeight="false" outlineLevel="0" collapsed="false">
      <c r="A16" s="22" t="s">
        <v>1026</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false" outlineLevel="0" collapsed="false">
      <c r="A17" s="28" t="s">
        <v>1027</v>
      </c>
      <c r="B17" s="58" t="s">
        <v>1028</v>
      </c>
      <c r="C17" s="66" t="n">
        <f aca="false">SUM(E17:P17)</f>
        <v>1</v>
      </c>
      <c r="D17" s="66" t="n">
        <f aca="false">SUM(Q17:AB17)</f>
        <v>0</v>
      </c>
      <c r="M17" s="67" t="n">
        <f aca="false">IF(Assumptions!M$99=10,1*Project_Register!$O$15*Assumptions!$F$125,0)</f>
        <v>0</v>
      </c>
      <c r="N17" s="67" t="n">
        <f aca="false">IF(Assumptions!N$99=10,1*Project_Register!$O$15*Assumptions!$F$125,0)</f>
        <v>1</v>
      </c>
      <c r="O17" s="67" t="n">
        <f aca="false">IF(Assumptions!O$99=10,1*Project_Register!$O$15*Assumptions!$F$125,0)</f>
        <v>0</v>
      </c>
      <c r="P17" s="67" t="n">
        <f aca="false">IF(Assumptions!P$99=10,1*Project_Register!$O$15*Assumptions!$F$125,0)</f>
        <v>0</v>
      </c>
      <c r="Q17" s="67" t="n">
        <f aca="false">IF(Assumptions!Q$99=10,1*Project_Register!$O$15*Assumptions!$F$125,0)</f>
        <v>0</v>
      </c>
      <c r="R17" s="67" t="n">
        <f aca="false">IF(Assumptions!R$99=10,1*Project_Register!$O$15*Assumptions!$F$125,0)</f>
        <v>0</v>
      </c>
      <c r="S17" s="67" t="n">
        <f aca="false">IF(Assumptions!S$99=10,1*Project_Register!$O$15*Assumptions!$F$125,0)</f>
        <v>0</v>
      </c>
      <c r="T17" s="67" t="n">
        <f aca="false">IF(Assumptions!T$99=10,1*Project_Register!$O$15*Assumptions!$F$125,0)</f>
        <v>0</v>
      </c>
      <c r="U17" s="67" t="n">
        <f aca="false">IF(Assumptions!U$99=10,1*Project_Register!$O$15*Assumptions!$F$125,0)</f>
        <v>0</v>
      </c>
      <c r="V17" s="67" t="n">
        <f aca="false">IF(Assumptions!V$99=10,1*Project_Register!$O$15*Assumptions!$F$125,0)</f>
        <v>0</v>
      </c>
      <c r="W17" s="67" t="n">
        <f aca="false">IF(Assumptions!W$99=10,1*Project_Register!$O$15*Assumptions!$F$125,0)</f>
        <v>0</v>
      </c>
      <c r="X17" s="67" t="n">
        <f aca="false">IF(Assumptions!X$99=10,1*Project_Register!$O$15*Assumptions!$F$125,0)</f>
        <v>0</v>
      </c>
      <c r="Y17" s="67" t="n">
        <f aca="false">IF(Assumptions!Y$99=10,1*Project_Register!$O$15*Assumptions!$F$125,0)</f>
        <v>0</v>
      </c>
      <c r="Z17" s="67" t="n">
        <f aca="false">IF(Assumptions!Z$99=10,1*Project_Register!$O$15*Assumptions!$F$125,0)</f>
        <v>0</v>
      </c>
      <c r="AA17" s="67" t="n">
        <f aca="false">IF(Assumptions!AA$99=10,1*Project_Register!$O$15*Assumptions!$F$125,0)</f>
        <v>0</v>
      </c>
      <c r="AB17" s="67" t="n">
        <f aca="false">IF(Assumptions!AB$99=10,1*Project_Register!$O$15*Assumptions!$F$125,0)</f>
        <v>0</v>
      </c>
    </row>
    <row r="18" customFormat="false" ht="15" hidden="false" customHeight="false" outlineLevel="0" collapsed="false">
      <c r="A18" s="28" t="s">
        <v>1029</v>
      </c>
      <c r="B18" s="58" t="s">
        <v>1028</v>
      </c>
      <c r="C18" s="66" t="n">
        <f aca="false">SUM(E18:P18)</f>
        <v>1</v>
      </c>
      <c r="D18" s="66" t="n">
        <f aca="false">SUM(Q18:AB18)</f>
        <v>0</v>
      </c>
      <c r="M18" s="67" t="n">
        <f aca="false">IF(Assumptions!M$99=11,1*1*Assumptions!$F$125,0)</f>
        <v>0</v>
      </c>
      <c r="N18" s="67" t="n">
        <f aca="false">IF(Assumptions!N$99=11,1*1*Assumptions!$F$125,0)</f>
        <v>0</v>
      </c>
      <c r="O18" s="67" t="n">
        <f aca="false">IF(Assumptions!O$99=11,1*1*Assumptions!$F$125,0)</f>
        <v>1</v>
      </c>
      <c r="P18" s="67" t="n">
        <f aca="false">IF(Assumptions!P$99=11,1*1*Assumptions!$F$125,0)</f>
        <v>0</v>
      </c>
      <c r="Q18" s="67" t="n">
        <f aca="false">IF(Assumptions!Q$99=11,1*1*Assumptions!$F$125,0)</f>
        <v>0</v>
      </c>
      <c r="R18" s="67" t="n">
        <f aca="false">IF(Assumptions!R$99=11,1*1*Assumptions!$F$125,0)</f>
        <v>0</v>
      </c>
      <c r="S18" s="67" t="n">
        <f aca="false">IF(Assumptions!S$99=11,1*1*Assumptions!$F$125,0)</f>
        <v>0</v>
      </c>
      <c r="T18" s="67" t="n">
        <f aca="false">IF(Assumptions!T$99=11,1*1*Assumptions!$F$125,0)</f>
        <v>0</v>
      </c>
      <c r="U18" s="67" t="n">
        <f aca="false">IF(Assumptions!U$99=11,1*1*Assumptions!$F$125,0)</f>
        <v>0</v>
      </c>
      <c r="V18" s="67" t="n">
        <f aca="false">IF(Assumptions!V$99=11,1*1*Assumptions!$F$125,0)</f>
        <v>0</v>
      </c>
      <c r="W18" s="67" t="n">
        <f aca="false">IF(Assumptions!W$99=11,1*1*Assumptions!$F$125,0)</f>
        <v>0</v>
      </c>
      <c r="X18" s="67" t="n">
        <f aca="false">IF(Assumptions!X$99=11,1*1*Assumptions!$F$125,0)</f>
        <v>0</v>
      </c>
      <c r="Y18" s="67" t="n">
        <f aca="false">IF(Assumptions!Y$99=11,1*1*Assumptions!$F$125,0)</f>
        <v>0</v>
      </c>
      <c r="Z18" s="67" t="n">
        <f aca="false">IF(Assumptions!Z$99=11,1*1*Assumptions!$F$125,0)</f>
        <v>0</v>
      </c>
      <c r="AA18" s="67" t="n">
        <f aca="false">IF(Assumptions!AA$99=11,1*1*Assumptions!$F$125,0)</f>
        <v>0</v>
      </c>
      <c r="AB18" s="67" t="n">
        <f aca="false">IF(Assumptions!AB$99=11,1*1*Assumptions!$F$125,0)</f>
        <v>0</v>
      </c>
    </row>
    <row r="19" customFormat="false" ht="15" hidden="false" customHeight="false" outlineLevel="0" collapsed="false">
      <c r="A19" s="28" t="s">
        <v>1030</v>
      </c>
      <c r="B19" s="58" t="s">
        <v>1028</v>
      </c>
      <c r="C19" s="66" t="n">
        <f aca="false">SUM(E19:P19)</f>
        <v>0</v>
      </c>
      <c r="D19" s="66" t="n">
        <f aca="false">SUM(Q19:AB19)</f>
        <v>0.45</v>
      </c>
      <c r="M19" s="67" t="n">
        <f aca="false">IF(Assumptions!M$99=13,1*Client_Register!$N$44*Assumptions!$F$125,0)</f>
        <v>0</v>
      </c>
      <c r="N19" s="67" t="n">
        <f aca="false">IF(Assumptions!N$99=13,1*Client_Register!$N$44*Assumptions!$F$125,0)</f>
        <v>0</v>
      </c>
      <c r="O19" s="67" t="n">
        <f aca="false">IF(Assumptions!O$99=13,1*Client_Register!$N$44*Assumptions!$F$125,0)</f>
        <v>0</v>
      </c>
      <c r="P19" s="67" t="n">
        <f aca="false">IF(Assumptions!P$99=13,1*Client_Register!$N$44*Assumptions!$F$125,0)</f>
        <v>0</v>
      </c>
      <c r="Q19" s="67" t="n">
        <f aca="false">IF(Assumptions!Q$99=13,1*Client_Register!$N$44*Assumptions!$F$125,0)</f>
        <v>0.45</v>
      </c>
      <c r="R19" s="67" t="n">
        <f aca="false">IF(Assumptions!R$99=13,1*Client_Register!$N$44*Assumptions!$F$125,0)</f>
        <v>0</v>
      </c>
      <c r="S19" s="67" t="n">
        <f aca="false">IF(Assumptions!S$99=13,1*Client_Register!$N$44*Assumptions!$F$125,0)</f>
        <v>0</v>
      </c>
      <c r="T19" s="67" t="n">
        <f aca="false">IF(Assumptions!T$99=13,1*Client_Register!$N$44*Assumptions!$F$125,0)</f>
        <v>0</v>
      </c>
      <c r="U19" s="67" t="n">
        <f aca="false">IF(Assumptions!U$99=13,1*Client_Register!$N$44*Assumptions!$F$125,0)</f>
        <v>0</v>
      </c>
      <c r="V19" s="67" t="n">
        <f aca="false">IF(Assumptions!V$99=13,1*Client_Register!$N$44*Assumptions!$F$125,0)</f>
        <v>0</v>
      </c>
      <c r="W19" s="67" t="n">
        <f aca="false">IF(Assumptions!W$99=13,1*Client_Register!$N$44*Assumptions!$F$125,0)</f>
        <v>0</v>
      </c>
      <c r="X19" s="67" t="n">
        <f aca="false">IF(Assumptions!X$99=13,1*Client_Register!$N$44*Assumptions!$F$125,0)</f>
        <v>0</v>
      </c>
      <c r="Y19" s="67" t="n">
        <f aca="false">IF(Assumptions!Y$99=13,1*Client_Register!$N$44*Assumptions!$F$125,0)</f>
        <v>0</v>
      </c>
      <c r="Z19" s="67" t="n">
        <f aca="false">IF(Assumptions!Z$99=13,1*Client_Register!$N$44*Assumptions!$F$125,0)</f>
        <v>0</v>
      </c>
      <c r="AA19" s="67" t="n">
        <f aca="false">IF(Assumptions!AA$99=13,1*Client_Register!$N$44*Assumptions!$F$125,0)</f>
        <v>0</v>
      </c>
      <c r="AB19" s="67" t="n">
        <f aca="false">IF(Assumptions!AB$99=13,1*Client_Register!$N$44*Assumptions!$F$125,0)</f>
        <v>0</v>
      </c>
    </row>
    <row r="20" customFormat="false" ht="15" hidden="false" customHeight="false" outlineLevel="0" collapsed="false">
      <c r="A20" s="28" t="s">
        <v>1031</v>
      </c>
      <c r="B20" s="58" t="s">
        <v>1028</v>
      </c>
      <c r="C20" s="66" t="n">
        <f aca="false">SUM(E20:P20)</f>
        <v>0</v>
      </c>
      <c r="D20" s="66" t="n">
        <f aca="false">SUM(Q20:AB20)</f>
        <v>0.4</v>
      </c>
      <c r="M20" s="67" t="n">
        <f aca="false">IF(Assumptions!M$99=15,1*Project_Register!$O$16*Assumptions!$F$125,0)</f>
        <v>0</v>
      </c>
      <c r="N20" s="67" t="n">
        <f aca="false">IF(Assumptions!N$99=15,1*Project_Register!$O$16*Assumptions!$F$125,0)</f>
        <v>0</v>
      </c>
      <c r="O20" s="67" t="n">
        <f aca="false">IF(Assumptions!O$99=15,1*Project_Register!$O$16*Assumptions!$F$125,0)</f>
        <v>0</v>
      </c>
      <c r="P20" s="67" t="n">
        <f aca="false">IF(Assumptions!P$99=15,1*Project_Register!$O$16*Assumptions!$F$125,0)</f>
        <v>0</v>
      </c>
      <c r="Q20" s="67" t="n">
        <f aca="false">IF(Assumptions!Q$99=15,1*Project_Register!$O$16*Assumptions!$F$125,0)</f>
        <v>0</v>
      </c>
      <c r="R20" s="67" t="n">
        <f aca="false">IF(Assumptions!R$99=15,1*Project_Register!$O$16*Assumptions!$F$125,0)</f>
        <v>0</v>
      </c>
      <c r="S20" s="67" t="n">
        <f aca="false">IF(Assumptions!S$99=15,1*Project_Register!$O$16*Assumptions!$F$125,0)</f>
        <v>0.4</v>
      </c>
      <c r="T20" s="67" t="n">
        <f aca="false">IF(Assumptions!T$99=15,1*Project_Register!$O$16*Assumptions!$F$125,0)</f>
        <v>0</v>
      </c>
      <c r="U20" s="67" t="n">
        <f aca="false">IF(Assumptions!U$99=15,1*Project_Register!$O$16*Assumptions!$F$125,0)</f>
        <v>0</v>
      </c>
      <c r="V20" s="67" t="n">
        <f aca="false">IF(Assumptions!V$99=15,1*Project_Register!$O$16*Assumptions!$F$125,0)</f>
        <v>0</v>
      </c>
      <c r="W20" s="67" t="n">
        <f aca="false">IF(Assumptions!W$99=15,1*Project_Register!$O$16*Assumptions!$F$125,0)</f>
        <v>0</v>
      </c>
      <c r="X20" s="67" t="n">
        <f aca="false">IF(Assumptions!X$99=15,1*Project_Register!$O$16*Assumptions!$F$125,0)</f>
        <v>0</v>
      </c>
      <c r="Y20" s="67" t="n">
        <f aca="false">IF(Assumptions!Y$99=15,1*Project_Register!$O$16*Assumptions!$F$125,0)</f>
        <v>0</v>
      </c>
      <c r="Z20" s="67" t="n">
        <f aca="false">IF(Assumptions!Z$99=15,1*Project_Register!$O$16*Assumptions!$F$125,0)</f>
        <v>0</v>
      </c>
      <c r="AA20" s="67" t="n">
        <f aca="false">IF(Assumptions!AA$99=15,1*Project_Register!$O$16*Assumptions!$F$125,0)</f>
        <v>0</v>
      </c>
      <c r="AB20" s="67" t="n">
        <f aca="false">IF(Assumptions!AB$99=15,1*Project_Register!$O$16*Assumptions!$F$125,0)</f>
        <v>0</v>
      </c>
    </row>
    <row r="21" customFormat="false" ht="15" hidden="false" customHeight="false" outlineLevel="0" collapsed="false">
      <c r="A21" s="28" t="s">
        <v>1032</v>
      </c>
      <c r="B21" s="58"/>
      <c r="C21" s="66" t="n">
        <f aca="false">SUM(E21:P21)</f>
        <v>2</v>
      </c>
      <c r="D21" s="66" t="n">
        <f aca="false">SUM(Q21:AB21)</f>
        <v>0.85</v>
      </c>
      <c r="E21" s="72" t="n">
        <f aca="false">0</f>
        <v>0</v>
      </c>
      <c r="F21" s="72" t="n">
        <f aca="false">0</f>
        <v>0</v>
      </c>
      <c r="G21" s="72" t="n">
        <f aca="false">0</f>
        <v>0</v>
      </c>
      <c r="H21" s="72" t="n">
        <f aca="false">0</f>
        <v>0</v>
      </c>
      <c r="I21" s="72" t="n">
        <f aca="false">0</f>
        <v>0</v>
      </c>
      <c r="J21" s="72" t="n">
        <f aca="false">0</f>
        <v>0</v>
      </c>
      <c r="K21" s="72" t="n">
        <f aca="false">0</f>
        <v>0</v>
      </c>
      <c r="L21" s="72" t="n">
        <f aca="false">0</f>
        <v>0</v>
      </c>
      <c r="M21" s="72" t="n">
        <f aca="false">M17+M18+M19+M20</f>
        <v>0</v>
      </c>
      <c r="N21" s="72" t="n">
        <f aca="false">N17+N18+N19+N20</f>
        <v>1</v>
      </c>
      <c r="O21" s="72" t="n">
        <f aca="false">O17+O18+O19+O20</f>
        <v>1</v>
      </c>
      <c r="P21" s="72" t="n">
        <f aca="false">P17+P18+P19+P20</f>
        <v>0</v>
      </c>
      <c r="Q21" s="72" t="n">
        <f aca="false">Q17+Q18+Q19+Q20</f>
        <v>0.45</v>
      </c>
      <c r="R21" s="72" t="n">
        <f aca="false">R17+R18+R19+R20</f>
        <v>0</v>
      </c>
      <c r="S21" s="72" t="n">
        <f aca="false">S17+S18+S19+S20</f>
        <v>0.4</v>
      </c>
      <c r="T21" s="72" t="n">
        <f aca="false">T17+T18+T19+T20</f>
        <v>0</v>
      </c>
      <c r="U21" s="72" t="n">
        <f aca="false">U17+U18+U19+U20</f>
        <v>0</v>
      </c>
      <c r="V21" s="72" t="n">
        <f aca="false">V17+V18+V19+V20</f>
        <v>0</v>
      </c>
      <c r="W21" s="72" t="n">
        <f aca="false">W17+W18+W19+W20</f>
        <v>0</v>
      </c>
      <c r="X21" s="72" t="n">
        <f aca="false">X17+X18+X19+X20</f>
        <v>0</v>
      </c>
      <c r="Y21" s="72" t="n">
        <f aca="false">Y17+Y18+Y19+Y20</f>
        <v>0</v>
      </c>
      <c r="Z21" s="72" t="n">
        <f aca="false">Z17+Z18+Z19+Z20</f>
        <v>0</v>
      </c>
      <c r="AA21" s="72" t="n">
        <f aca="false">AA17+AA18+AA19+AA20</f>
        <v>0</v>
      </c>
      <c r="AB21" s="72" t="n">
        <f aca="false">AB17+AB18+AB19+AB20</f>
        <v>0</v>
      </c>
    </row>
    <row r="22" customFormat="false" ht="15" hidden="false" customHeight="false" outlineLevel="0" collapsed="false">
      <c r="A22" s="28" t="s">
        <v>1033</v>
      </c>
      <c r="B22" s="58" t="s">
        <v>84</v>
      </c>
      <c r="C22" s="66" t="n">
        <f aca="false">SUM(E22:P22)</f>
        <v>0</v>
      </c>
      <c r="D22" s="66" t="n">
        <f aca="false">SUM(Q22:AB22)</f>
        <v>0</v>
      </c>
      <c r="E22" s="72" t="n">
        <f aca="false">0</f>
        <v>0</v>
      </c>
      <c r="F22" s="72" t="n">
        <f aca="false">0</f>
        <v>0</v>
      </c>
      <c r="G22" s="72" t="n">
        <f aca="false">0</f>
        <v>0</v>
      </c>
      <c r="H22" s="72" t="n">
        <f aca="false">0</f>
        <v>0</v>
      </c>
      <c r="I22" s="72" t="n">
        <f aca="false">0</f>
        <v>0</v>
      </c>
      <c r="J22" s="72" t="n">
        <f aca="false">0</f>
        <v>0</v>
      </c>
      <c r="K22" s="72" t="n">
        <f aca="false">0</f>
        <v>0</v>
      </c>
      <c r="L22" s="72" t="n">
        <f aca="false">0</f>
        <v>0</v>
      </c>
      <c r="M22" s="67" t="n">
        <f aca="false">IF(Assumptions!M$98=Assumptions!$F$129,Assumptions!$F$128,0)</f>
        <v>0</v>
      </c>
      <c r="N22" s="67" t="n">
        <f aca="false">IF(Assumptions!N$98=Assumptions!$F$129,Assumptions!$F$128,0)</f>
        <v>0</v>
      </c>
      <c r="O22" s="67" t="n">
        <f aca="false">IF(Assumptions!O$98=Assumptions!$F$129,Assumptions!$F$128,0)</f>
        <v>0</v>
      </c>
      <c r="P22" s="67" t="n">
        <f aca="false">IF(Assumptions!P$98=Assumptions!$F$129,Assumptions!$F$128,0)</f>
        <v>0</v>
      </c>
      <c r="Q22" s="67" t="n">
        <f aca="false">IF(Assumptions!Q$98=Assumptions!$F$129,Assumptions!$F$128,0)</f>
        <v>0</v>
      </c>
      <c r="R22" s="67" t="n">
        <f aca="false">IF(Assumptions!R$98=Assumptions!$F$129,Assumptions!$F$128,0)</f>
        <v>0</v>
      </c>
      <c r="S22" s="67" t="n">
        <f aca="false">IF(Assumptions!S$98=Assumptions!$F$129,Assumptions!$F$128,0)</f>
        <v>0</v>
      </c>
      <c r="T22" s="67" t="n">
        <f aca="false">IF(Assumptions!T$98=Assumptions!$F$129,Assumptions!$F$128,0)</f>
        <v>0</v>
      </c>
      <c r="U22" s="67" t="n">
        <f aca="false">IF(Assumptions!U$98=Assumptions!$F$129,Assumptions!$F$128,0)</f>
        <v>0</v>
      </c>
      <c r="V22" s="67" t="n">
        <f aca="false">IF(Assumptions!V$98=Assumptions!$F$129,Assumptions!$F$128,0)</f>
        <v>0</v>
      </c>
      <c r="W22" s="67" t="n">
        <f aca="false">IF(Assumptions!W$98=Assumptions!$F$129,Assumptions!$F$128,0)</f>
        <v>0</v>
      </c>
      <c r="X22" s="67" t="n">
        <f aca="false">IF(Assumptions!X$98=Assumptions!$F$129,Assumptions!$F$128,0)</f>
        <v>0</v>
      </c>
      <c r="Y22" s="67" t="n">
        <f aca="false">IF(Assumptions!Y$98=Assumptions!$F$129,Assumptions!$F$128,0)</f>
        <v>0</v>
      </c>
      <c r="Z22" s="67" t="n">
        <f aca="false">IF(Assumptions!Z$98=Assumptions!$F$129,Assumptions!$F$128,0)</f>
        <v>0</v>
      </c>
      <c r="AA22" s="67" t="n">
        <f aca="false">IF(Assumptions!AA$98=Assumptions!$F$129,Assumptions!$F$128,0)</f>
        <v>0</v>
      </c>
      <c r="AB22" s="67" t="n">
        <f aca="false">IF(Assumptions!AB$98=Assumptions!$F$129,Assumptions!$F$128,0)</f>
        <v>0</v>
      </c>
    </row>
    <row r="23" customFormat="false" ht="15" hidden="false" customHeight="false" outlineLevel="0" collapsed="false">
      <c r="A23" s="22" t="s">
        <v>1034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311</v>
      </c>
      <c r="B24" s="58" t="s">
        <v>1035</v>
      </c>
      <c r="C24" s="66" t="n">
        <f aca="false">P24</f>
        <v>5</v>
      </c>
      <c r="D24" s="66" t="n">
        <f aca="false">AB24</f>
        <v>5</v>
      </c>
      <c r="E24" s="67" t="n">
        <f aca="false">IF(E$5="A",Inputs_Actuals!E132,Inputs_Actuals!E132-E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F24" s="67" t="n">
        <f aca="false">IF(F$5="A",Inputs_Actuals!F132,E24-F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G24" s="67" t="n">
        <f aca="false">IF(G$5="A",Inputs_Actuals!G132,F24-G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H24" s="67" t="n">
        <f aca="false">IF(H$5="A",Inputs_Actuals!H132,G24-H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I24" s="67" t="n">
        <f aca="false">IF(I$5="A",Inputs_Actuals!I132,H24-I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J24" s="67" t="n">
        <f aca="false">IF(J$5="A",Inputs_Actuals!J132,I24-J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K24" s="67" t="n">
        <f aca="false">IF(K$5="A",Inputs_Actuals!K132,J24-K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L24" s="67" t="n">
        <f aca="false">IF(L$5="A",Inputs_Actuals!L132,K24-L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M24" s="67" t="n">
        <f aca="false">IF(M$5="A",Inputs_Actuals!M132,L24-M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N24" s="67" t="n">
        <f aca="false">IF(N$5="A",Inputs_Actuals!N132,M24-N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O24" s="67" t="n">
        <f aca="false">IF(O$5="A",Inputs_Actuals!O132,N24-O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P24" s="67" t="n">
        <f aca="false">IF(P$5="A",Inputs_Actuals!P132,O24-P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Q24" s="67" t="n">
        <f aca="false">IF(Q$5="A",Inputs_Actuals!Q132,P24-Q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R24" s="67" t="n">
        <f aca="false">IF(R$5="A",Inputs_Actuals!R132,Q24-R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S24" s="67" t="n">
        <f aca="false">IF(S$5="A",Inputs_Actuals!S132,R24-S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T24" s="67" t="n">
        <f aca="false">IF(T$5="A",Inputs_Actuals!T132,S24-T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U24" s="67" t="n">
        <f aca="false">IF(U$5="A",Inputs_Actuals!U132,T24-U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V24" s="67" t="n">
        <f aca="false">IF(V$5="A",Inputs_Actuals!V132,U24-V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W24" s="67" t="n">
        <f aca="false">IF(W$5="A",Inputs_Actuals!W132,V24-W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X24" s="67" t="n">
        <f aca="false">IF(X$5="A",Inputs_Actuals!X132,W24-X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Y24" s="67" t="n">
        <f aca="false">IF(Y$5="A",Inputs_Actuals!Y132,X24-Y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Z24" s="67" t="n">
        <f aca="false">IF(Z$5="A",Inputs_Actuals!Z132,Y24-Z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AA24" s="67" t="n">
        <f aca="false">IF(AA$5="A",Inputs_Actuals!AA132,Z24-AA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c r="AB24" s="67" t="n">
        <f aca="false">IF(AB$5="A",Inputs_Actuals!AB132,AA24-AB22*INDEX(Inputs_Actuals!$E$132:$AB$132,Assumptions!$C$10)/(INDEX(Inputs_Actuals!$E$132:$AB$132,Assumptions!$C$10)+INDEX(Inputs_Actuals!$E$133:$AB$133,Assumptions!$C$10)+INDEX(Inputs_Actuals!$E$134:$AB$134,Assumptions!$C$10)+INDEX(Inputs_Actuals!$E$135:$AB$135,Assumptions!$C$10)+INDEX(Inputs_Actuals!$E$136:$AB$136,Assumptions!$C$10)+INDEX(Inputs_Actuals!$E$137:$AB$137,Assumptions!$C$10)))</f>
        <v>5</v>
      </c>
    </row>
    <row r="25" customFormat="false" ht="15" hidden="false" customHeight="false" outlineLevel="0" collapsed="false">
      <c r="A25" s="28" t="s">
        <v>1036</v>
      </c>
      <c r="B25" s="58" t="s">
        <v>1037</v>
      </c>
      <c r="C25" s="66" t="n">
        <f aca="false">SUM(E25:P25)</f>
        <v>8690</v>
      </c>
      <c r="D25" s="66" t="n">
        <f aca="false">SUM(Q25:AB25)</f>
        <v>8690</v>
      </c>
      <c r="E25" s="67" t="n">
        <f aca="false">E24*Assumptions!E$107</f>
        <v>760</v>
      </c>
      <c r="F25" s="67" t="n">
        <f aca="false">F24*Assumptions!F$107</f>
        <v>730</v>
      </c>
      <c r="G25" s="67" t="n">
        <f aca="false">G24*Assumptions!G$107</f>
        <v>790</v>
      </c>
      <c r="H25" s="67" t="n">
        <f aca="false">H24*Assumptions!H$107</f>
        <v>750</v>
      </c>
      <c r="I25" s="67" t="n">
        <f aca="false">I24*Assumptions!I$107</f>
        <v>750</v>
      </c>
      <c r="J25" s="67" t="n">
        <f aca="false">J24*Assumptions!J$107</f>
        <v>690</v>
      </c>
      <c r="K25" s="67" t="n">
        <f aca="false">K24*Assumptions!K$107</f>
        <v>560</v>
      </c>
      <c r="L25" s="67" t="n">
        <f aca="false">L24*Assumptions!L$107</f>
        <v>680</v>
      </c>
      <c r="M25" s="67" t="n">
        <f aca="false">M24*Assumptions!M$107</f>
        <v>790</v>
      </c>
      <c r="N25" s="67" t="n">
        <f aca="false">N24*Assumptions!N$107</f>
        <v>820</v>
      </c>
      <c r="O25" s="67" t="n">
        <f aca="false">O24*Assumptions!O$107</f>
        <v>760</v>
      </c>
      <c r="P25" s="67" t="n">
        <f aca="false">P24*Assumptions!P$107</f>
        <v>610</v>
      </c>
      <c r="Q25" s="67" t="n">
        <f aca="false">Q24*Assumptions!Q$107</f>
        <v>760</v>
      </c>
      <c r="R25" s="67" t="n">
        <f aca="false">R24*Assumptions!R$107</f>
        <v>730</v>
      </c>
      <c r="S25" s="67" t="n">
        <f aca="false">S24*Assumptions!S$107</f>
        <v>790</v>
      </c>
      <c r="T25" s="67" t="n">
        <f aca="false">T24*Assumptions!T$107</f>
        <v>750</v>
      </c>
      <c r="U25" s="67" t="n">
        <f aca="false">U24*Assumptions!U$107</f>
        <v>750</v>
      </c>
      <c r="V25" s="67" t="n">
        <f aca="false">V24*Assumptions!V$107</f>
        <v>690</v>
      </c>
      <c r="W25" s="67" t="n">
        <f aca="false">W24*Assumptions!W$107</f>
        <v>560</v>
      </c>
      <c r="X25" s="67" t="n">
        <f aca="false">X24*Assumptions!X$107</f>
        <v>680</v>
      </c>
      <c r="Y25" s="67" t="n">
        <f aca="false">Y24*Assumptions!Y$107</f>
        <v>790</v>
      </c>
      <c r="Z25" s="67" t="n">
        <f aca="false">Z24*Assumptions!Z$107</f>
        <v>820</v>
      </c>
      <c r="AA25" s="67" t="n">
        <f aca="false">AA24*Assumptions!AA$107</f>
        <v>760</v>
      </c>
      <c r="AB25" s="67" t="n">
        <f aca="false">AB24*Assumptions!AB$107</f>
        <v>610</v>
      </c>
    </row>
    <row r="26" customFormat="false" ht="15" hidden="false" customHeight="false" outlineLevel="0" collapsed="false">
      <c r="A26" s="28" t="s">
        <v>1038</v>
      </c>
      <c r="B26" s="58" t="s">
        <v>1039</v>
      </c>
      <c r="C26" s="66" t="n">
        <f aca="false">SUM(E26:P26)</f>
        <v>4610.44503055556</v>
      </c>
      <c r="D26" s="66" t="n">
        <f aca="false">SUM(Q26:AB26)</f>
        <v>4516.73661069445</v>
      </c>
      <c r="E26" s="67" t="n">
        <f aca="false">IF(E$5="A",Inputs_Actuals!E138+Inputs_Actuals!E144,E9*Assumptions!$C$79+E10*Assumptions!$C$80+E11*Assumptions!$C$81+E12*Assumptions!$C$82+E13*Assumptions!$C$83+E14*Assumptions!$C$84)</f>
        <v>351.797</v>
      </c>
      <c r="F26" s="67" t="n">
        <f aca="false">IF(F$5="A",Inputs_Actuals!F138+Inputs_Actuals!F144,F9*Assumptions!$C$79+F10*Assumptions!$C$80+F11*Assumptions!$C$81+F12*Assumptions!$C$82+F13*Assumptions!$C$83+F14*Assumptions!$C$84)</f>
        <v>336.066</v>
      </c>
      <c r="G26" s="67" t="n">
        <f aca="false">IF(G$5="A",Inputs_Actuals!G138+Inputs_Actuals!G144,G9*Assumptions!$C$79+G10*Assumptions!$C$80+G11*Assumptions!$C$81+G12*Assumptions!$C$82+G13*Assumptions!$C$83+G14*Assumptions!$C$84)</f>
        <v>341.959</v>
      </c>
      <c r="H26" s="67" t="n">
        <f aca="false">IF(H$5="A",Inputs_Actuals!H138+Inputs_Actuals!H144,H9*Assumptions!$C$79+H10*Assumptions!$C$80+H11*Assumptions!$C$81+H12*Assumptions!$C$82+H13*Assumptions!$C$83+H14*Assumptions!$C$84)</f>
        <v>365.999</v>
      </c>
      <c r="I26" s="67" t="n">
        <f aca="false">IF(I$5="A",Inputs_Actuals!I138+Inputs_Actuals!I144,I9*Assumptions!$C$79+I10*Assumptions!$C$80+I11*Assumptions!$C$81+I12*Assumptions!$C$82+I13*Assumptions!$C$83+I14*Assumptions!$C$84)</f>
        <v>385.431</v>
      </c>
      <c r="J26" s="67" t="n">
        <f aca="false">IF(J$5="A",Inputs_Actuals!J138+Inputs_Actuals!J144,J9*Assumptions!$C$79+J10*Assumptions!$C$80+J11*Assumptions!$C$81+J12*Assumptions!$C$82+J13*Assumptions!$C$83+J14*Assumptions!$C$84)</f>
        <v>430.313</v>
      </c>
      <c r="K26" s="67" t="n">
        <f aca="false">IF(K$5="A",Inputs_Actuals!K138+Inputs_Actuals!K144,K9*Assumptions!$C$79+K10*Assumptions!$C$80+K11*Assumptions!$C$81+K12*Assumptions!$C$82+K13*Assumptions!$C$83+K14*Assumptions!$C$84)</f>
        <v>440.085</v>
      </c>
      <c r="L26" s="67" t="n">
        <f aca="false">IF(L$5="A",Inputs_Actuals!L138+Inputs_Actuals!L144,L9*Assumptions!$C$79+L10*Assumptions!$C$80+L11*Assumptions!$C$81+L12*Assumptions!$C$82+L13*Assumptions!$C$83+L14*Assumptions!$C$84)</f>
        <v>443.154</v>
      </c>
      <c r="M26" s="67" t="n">
        <f aca="false">IF(M$5="A",Inputs_Actuals!M138+Inputs_Actuals!M144,M9*Assumptions!$C$79+M10*Assumptions!$C$80+M11*Assumptions!$C$81+M12*Assumptions!$C$82+M13*Assumptions!$C$83+M14*Assumptions!$C$84)</f>
        <v>428.122104612376</v>
      </c>
      <c r="N26" s="67" t="n">
        <f aca="false">IF(N$5="A",Inputs_Actuals!N138+Inputs_Actuals!N144,N9*Assumptions!$C$79+N10*Assumptions!$C$80+N11*Assumptions!$C$81+N12*Assumptions!$C$82+N13*Assumptions!$C$83+N14*Assumptions!$C$84)</f>
        <v>380.822035202438</v>
      </c>
      <c r="O26" s="67" t="n">
        <f aca="false">IF(O$5="A",Inputs_Actuals!O138+Inputs_Actuals!O144,O9*Assumptions!$C$79+O10*Assumptions!$C$80+O11*Assumptions!$C$81+O12*Assumptions!$C$82+O13*Assumptions!$C$83+O14*Assumptions!$C$84)</f>
        <v>362.15270462963</v>
      </c>
      <c r="P26" s="67" t="n">
        <f aca="false">IF(P$5="A",Inputs_Actuals!P138+Inputs_Actuals!P144,P9*Assumptions!$C$79+P10*Assumptions!$C$80+P11*Assumptions!$C$81+P12*Assumptions!$C$82+P13*Assumptions!$C$83+P14*Assumptions!$C$84)</f>
        <v>344.544186111111</v>
      </c>
      <c r="Q26" s="67" t="n">
        <f aca="false">IF(Q$5="A",Inputs_Actuals!Q138+Inputs_Actuals!Q144,Q9*Assumptions!$C$79+Q10*Assumptions!$C$80+Q11*Assumptions!$C$81+Q12*Assumptions!$C$82+Q13*Assumptions!$C$83+Q14*Assumptions!$C$84)</f>
        <v>344.534644444445</v>
      </c>
      <c r="R26" s="67" t="n">
        <f aca="false">IF(R$5="A",Inputs_Actuals!R138+Inputs_Actuals!R144,R9*Assumptions!$C$79+R10*Assumptions!$C$80+R11*Assumptions!$C$81+R12*Assumptions!$C$82+R13*Assumptions!$C$83+R14*Assumptions!$C$84)</f>
        <v>365.008212374474</v>
      </c>
      <c r="S26" s="67" t="n">
        <f aca="false">IF(S$5="A",Inputs_Actuals!S138+Inputs_Actuals!S144,S9*Assumptions!$C$79+S10*Assumptions!$C$80+S11*Assumptions!$C$81+S12*Assumptions!$C$82+S13*Assumptions!$C$83+S14*Assumptions!$C$84)</f>
        <v>380.650265806878</v>
      </c>
      <c r="T26" s="67" t="n">
        <f aca="false">IF(T$5="A",Inputs_Actuals!T138+Inputs_Actuals!T144,T9*Assumptions!$C$79+T10*Assumptions!$C$80+T11*Assumptions!$C$81+T12*Assumptions!$C$82+T13*Assumptions!$C$83+T14*Assumptions!$C$84)</f>
        <v>392.911794532988</v>
      </c>
      <c r="U26" s="67" t="n">
        <f aca="false">IF(U$5="A",Inputs_Actuals!U138+Inputs_Actuals!U144,U9*Assumptions!$C$79+U10*Assumptions!$C$80+U11*Assumptions!$C$81+U12*Assumptions!$C$82+U13*Assumptions!$C$83+U14*Assumptions!$C$84)</f>
        <v>391.465924756506</v>
      </c>
      <c r="V26" s="67" t="n">
        <f aca="false">IF(V$5="A",Inputs_Actuals!V138+Inputs_Actuals!V144,V9*Assumptions!$C$79+V10*Assumptions!$C$80+V11*Assumptions!$C$81+V12*Assumptions!$C$82+V13*Assumptions!$C$83+V14*Assumptions!$C$84)</f>
        <v>392.018551199654</v>
      </c>
      <c r="W26" s="67" t="n">
        <f aca="false">IF(W$5="A",Inputs_Actuals!W138+Inputs_Actuals!W144,W9*Assumptions!$C$79+W10*Assumptions!$C$80+W11*Assumptions!$C$81+W12*Assumptions!$C$82+W13*Assumptions!$C$83+W14*Assumptions!$C$84)</f>
        <v>391.679868167989</v>
      </c>
      <c r="X26" s="67" t="n">
        <f aca="false">IF(X$5="A",Inputs_Actuals!X138+Inputs_Actuals!X144,X9*Assumptions!$C$79+X10*Assumptions!$C$80+X11*Assumptions!$C$81+X12*Assumptions!$C$82+X13*Assumptions!$C$83+X14*Assumptions!$C$84)</f>
        <v>381.820328161511</v>
      </c>
      <c r="Y26" s="67" t="n">
        <f aca="false">IF(Y$5="A",Inputs_Actuals!Y138+Inputs_Actuals!Y144,Y9*Assumptions!$C$79+Y10*Assumptions!$C$80+Y11*Assumptions!$C$81+Y12*Assumptions!$C$82+Y13*Assumptions!$C$83+Y14*Assumptions!$C$84)</f>
        <v>366.70347875</v>
      </c>
      <c r="Z26" s="67" t="n">
        <f aca="false">IF(Z$5="A",Inputs_Actuals!Z138+Inputs_Actuals!Z144,Z9*Assumptions!$C$79+Z10*Assumptions!$C$80+Z11*Assumptions!$C$81+Z12*Assumptions!$C$82+Z13*Assumptions!$C$83+Z14*Assumptions!$C$84)</f>
        <v>372.9006475</v>
      </c>
      <c r="AA26" s="67" t="n">
        <f aca="false">IF(AA$5="A",Inputs_Actuals!AA138+Inputs_Actuals!AA144,AA9*Assumptions!$C$79+AA10*Assumptions!$C$80+AA11*Assumptions!$C$81+AA12*Assumptions!$C$82+AA13*Assumptions!$C$83+AA14*Assumptions!$C$84)</f>
        <v>372.9006475</v>
      </c>
      <c r="AB26" s="67" t="n">
        <f aca="false">IF(AB$5="A",Inputs_Actuals!AB138+Inputs_Actuals!AB144,AB9*Assumptions!$C$79+AB10*Assumptions!$C$80+AB11*Assumptions!$C$81+AB12*Assumptions!$C$82+AB13*Assumptions!$C$83+AB14*Assumptions!$C$84)</f>
        <v>364.1422475</v>
      </c>
    </row>
    <row r="27" customFormat="false" ht="15" hidden="false" customHeight="false" outlineLevel="0" collapsed="false">
      <c r="A27" s="28" t="s">
        <v>1040</v>
      </c>
      <c r="B27" s="58" t="s">
        <v>1041</v>
      </c>
      <c r="C27" s="66" t="n">
        <f aca="false">SUM(E27:P27)</f>
        <v>4609.94103055556</v>
      </c>
      <c r="D27" s="66" t="n">
        <f aca="false">SUM(Q27:AB27)</f>
        <v>4516.73661069445</v>
      </c>
      <c r="E27" s="67" t="n">
        <f aca="false">IF(E$5="A",Inputs_Actuals!E138,MIN(E26,E25*Assumptions!$C$32))</f>
        <v>351.7</v>
      </c>
      <c r="F27" s="67" t="n">
        <f aca="false">IF(F$5="A",Inputs_Actuals!F138,MIN(F26,F25*Assumptions!$C$32))</f>
        <v>336</v>
      </c>
      <c r="G27" s="67" t="n">
        <f aca="false">IF(G$5="A",Inputs_Actuals!G138,MIN(G26,G25*Assumptions!$C$32))</f>
        <v>341.9</v>
      </c>
      <c r="H27" s="67" t="n">
        <f aca="false">IF(H$5="A",Inputs_Actuals!H138,MIN(H26,H25*Assumptions!$C$32))</f>
        <v>365.9</v>
      </c>
      <c r="I27" s="67" t="n">
        <f aca="false">IF(I$5="A",Inputs_Actuals!I138,MIN(I26,I25*Assumptions!$C$32))</f>
        <v>385.4</v>
      </c>
      <c r="J27" s="67" t="n">
        <f aca="false">IF(J$5="A",Inputs_Actuals!J138,MIN(J26,J25*Assumptions!$C$32))</f>
        <v>430.3</v>
      </c>
      <c r="K27" s="67" t="n">
        <f aca="false">IF(K$5="A",Inputs_Actuals!K138,MIN(K26,K25*Assumptions!$C$32))</f>
        <v>440</v>
      </c>
      <c r="L27" s="67" t="n">
        <f aca="false">IF(L$5="A",Inputs_Actuals!L138,MIN(L26,L25*Assumptions!$C$32))</f>
        <v>443.1</v>
      </c>
      <c r="M27" s="67" t="n">
        <f aca="false">IF(M$5="A",Inputs_Actuals!M138,MIN(M26,M25*Assumptions!$C$32))</f>
        <v>428.122104612376</v>
      </c>
      <c r="N27" s="67" t="n">
        <f aca="false">IF(N$5="A",Inputs_Actuals!N138,MIN(N26,N25*Assumptions!$C$32))</f>
        <v>380.822035202438</v>
      </c>
      <c r="O27" s="67" t="n">
        <f aca="false">IF(O$5="A",Inputs_Actuals!O138,MIN(O26,O25*Assumptions!$C$32))</f>
        <v>362.15270462963</v>
      </c>
      <c r="P27" s="67" t="n">
        <f aca="false">IF(P$5="A",Inputs_Actuals!P138,MIN(P26,P25*Assumptions!$C$32))</f>
        <v>344.544186111111</v>
      </c>
      <c r="Q27" s="67" t="n">
        <f aca="false">IF(Q$5="A",Inputs_Actuals!Q138,MIN(Q26,Q25*Assumptions!$C$32))</f>
        <v>344.534644444445</v>
      </c>
      <c r="R27" s="67" t="n">
        <f aca="false">IF(R$5="A",Inputs_Actuals!R138,MIN(R26,R25*Assumptions!$C$32))</f>
        <v>365.008212374474</v>
      </c>
      <c r="S27" s="67" t="n">
        <f aca="false">IF(S$5="A",Inputs_Actuals!S138,MIN(S26,S25*Assumptions!$C$32))</f>
        <v>380.650265806878</v>
      </c>
      <c r="T27" s="67" t="n">
        <f aca="false">IF(T$5="A",Inputs_Actuals!T138,MIN(T26,T25*Assumptions!$C$32))</f>
        <v>392.911794532988</v>
      </c>
      <c r="U27" s="67" t="n">
        <f aca="false">IF(U$5="A",Inputs_Actuals!U138,MIN(U26,U25*Assumptions!$C$32))</f>
        <v>391.465924756506</v>
      </c>
      <c r="V27" s="67" t="n">
        <f aca="false">IF(V$5="A",Inputs_Actuals!V138,MIN(V26,V25*Assumptions!$C$32))</f>
        <v>392.018551199654</v>
      </c>
      <c r="W27" s="67" t="n">
        <f aca="false">IF(W$5="A",Inputs_Actuals!W138,MIN(W26,W25*Assumptions!$C$32))</f>
        <v>391.679868167989</v>
      </c>
      <c r="X27" s="67" t="n">
        <f aca="false">IF(X$5="A",Inputs_Actuals!X138,MIN(X26,X25*Assumptions!$C$32))</f>
        <v>381.820328161511</v>
      </c>
      <c r="Y27" s="67" t="n">
        <f aca="false">IF(Y$5="A",Inputs_Actuals!Y138,MIN(Y26,Y25*Assumptions!$C$32))</f>
        <v>366.70347875</v>
      </c>
      <c r="Z27" s="67" t="n">
        <f aca="false">IF(Z$5="A",Inputs_Actuals!Z138,MIN(Z26,Z25*Assumptions!$C$32))</f>
        <v>372.9006475</v>
      </c>
      <c r="AA27" s="67" t="n">
        <f aca="false">IF(AA$5="A",Inputs_Actuals!AA138,MIN(AA26,AA25*Assumptions!$C$32))</f>
        <v>372.9006475</v>
      </c>
      <c r="AB27" s="67" t="n">
        <f aca="false">IF(AB$5="A",Inputs_Actuals!AB138,MIN(AB26,AB25*Assumptions!$C$32))</f>
        <v>364.1422475</v>
      </c>
    </row>
    <row r="28" customFormat="false" ht="15" hidden="false" customHeight="false" outlineLevel="0" collapsed="false">
      <c r="A28" s="28" t="s">
        <v>1042</v>
      </c>
      <c r="B28" s="58" t="s">
        <v>1043</v>
      </c>
      <c r="C28" s="66" t="n">
        <f aca="false">SUM(E28:P28)</f>
        <v>0.503999999999962</v>
      </c>
      <c r="D28" s="66" t="n">
        <f aca="false">SUM(Q28:AB28)</f>
        <v>0</v>
      </c>
      <c r="E28" s="67" t="n">
        <f aca="false">IF(E$5="A",Inputs_Actuals!E144,E26-E27)</f>
        <v>0.09699999999998</v>
      </c>
      <c r="F28" s="67" t="n">
        <f aca="false">IF(F$5="A",Inputs_Actuals!F144,F26-F27)</f>
        <v>0.0660000000000309</v>
      </c>
      <c r="G28" s="67" t="n">
        <f aca="false">IF(G$5="A",Inputs_Actuals!G144,G26-G27)</f>
        <v>0.0589999999999691</v>
      </c>
      <c r="H28" s="67" t="n">
        <f aca="false">IF(H$5="A",Inputs_Actuals!H144,H26-H27)</f>
        <v>0.0990000000000464</v>
      </c>
      <c r="I28" s="67" t="n">
        <f aca="false">IF(I$5="A",Inputs_Actuals!I144,I26-I27)</f>
        <v>0.0310000000000059</v>
      </c>
      <c r="J28" s="67" t="n">
        <f aca="false">IF(J$5="A",Inputs_Actuals!J144,J26-J27)</f>
        <v>0.0129999999999768</v>
      </c>
      <c r="K28" s="67" t="n">
        <f aca="false">IF(K$5="A",Inputs_Actuals!K144,K26-K27)</f>
        <v>0.0849999999999795</v>
      </c>
      <c r="L28" s="67" t="n">
        <f aca="false">IF(L$5="A",Inputs_Actuals!L144,L26-L27)</f>
        <v>0.0539999999999736</v>
      </c>
      <c r="M28" s="67" t="n">
        <f aca="false">IF(M$5="A",Inputs_Actuals!M144,M26-M27)</f>
        <v>0</v>
      </c>
      <c r="N28" s="67" t="n">
        <f aca="false">IF(N$5="A",Inputs_Actuals!N144,N26-N27)</f>
        <v>0</v>
      </c>
      <c r="O28" s="67" t="n">
        <f aca="false">IF(O$5="A",Inputs_Actuals!O144,O26-O27)</f>
        <v>0</v>
      </c>
      <c r="P28" s="67" t="n">
        <f aca="false">IF(P$5="A",Inputs_Actuals!P144,P26-P27)</f>
        <v>0</v>
      </c>
      <c r="Q28" s="67" t="n">
        <f aca="false">IF(Q$5="A",Inputs_Actuals!Q144,Q26-Q27)</f>
        <v>0</v>
      </c>
      <c r="R28" s="67" t="n">
        <f aca="false">IF(R$5="A",Inputs_Actuals!R144,R26-R27)</f>
        <v>0</v>
      </c>
      <c r="S28" s="67" t="n">
        <f aca="false">IF(S$5="A",Inputs_Actuals!S144,S26-S27)</f>
        <v>0</v>
      </c>
      <c r="T28" s="67" t="n">
        <f aca="false">IF(T$5="A",Inputs_Actuals!T144,T26-T27)</f>
        <v>0</v>
      </c>
      <c r="U28" s="67" t="n">
        <f aca="false">IF(U$5="A",Inputs_Actuals!U144,U26-U27)</f>
        <v>0</v>
      </c>
      <c r="V28" s="67" t="n">
        <f aca="false">IF(V$5="A",Inputs_Actuals!V144,V26-V27)</f>
        <v>0</v>
      </c>
      <c r="W28" s="67" t="n">
        <f aca="false">IF(W$5="A",Inputs_Actuals!W144,W26-W27)</f>
        <v>0</v>
      </c>
      <c r="X28" s="67" t="n">
        <f aca="false">IF(X$5="A",Inputs_Actuals!X144,X26-X27)</f>
        <v>0</v>
      </c>
      <c r="Y28" s="67" t="n">
        <f aca="false">IF(Y$5="A",Inputs_Actuals!Y144,Y26-Y27)</f>
        <v>0</v>
      </c>
      <c r="Z28" s="67" t="n">
        <f aca="false">IF(Z$5="A",Inputs_Actuals!Z144,Z26-Z27)</f>
        <v>0</v>
      </c>
      <c r="AA28" s="67" t="n">
        <f aca="false">IF(AA$5="A",Inputs_Actuals!AA144,AA26-AA27)</f>
        <v>0</v>
      </c>
      <c r="AB28" s="67" t="n">
        <f aca="false">IF(AB$5="A",Inputs_Actuals!AB144,AB26-AB27)</f>
        <v>0</v>
      </c>
    </row>
    <row r="29" customFormat="false" ht="15" hidden="false" customHeight="false" outlineLevel="0" collapsed="false">
      <c r="A29" s="28" t="s">
        <v>1044</v>
      </c>
      <c r="B29" s="58"/>
      <c r="C29" s="61" t="n">
        <f aca="false">IF(C25=0,0,C27/C25)</f>
        <v>0.530488035737118</v>
      </c>
      <c r="D29" s="61" t="n">
        <f aca="false">IF(D25=0,0,D27/D25)</f>
        <v>0.51976255589119</v>
      </c>
      <c r="E29" s="62" t="n">
        <f aca="false">IF(E25=0,0,E27/E25)</f>
        <v>0.462763157894737</v>
      </c>
      <c r="F29" s="62" t="n">
        <f aca="false">IF(F25=0,0,F27/F25)</f>
        <v>0.46027397260274</v>
      </c>
      <c r="G29" s="62" t="n">
        <f aca="false">IF(G25=0,0,G27/G25)</f>
        <v>0.432784810126582</v>
      </c>
      <c r="H29" s="62" t="n">
        <f aca="false">IF(H25=0,0,H27/H25)</f>
        <v>0.487866666666667</v>
      </c>
      <c r="I29" s="62" t="n">
        <f aca="false">IF(I25=0,0,I27/I25)</f>
        <v>0.513866666666667</v>
      </c>
      <c r="J29" s="62" t="n">
        <f aca="false">IF(J25=0,0,J27/J25)</f>
        <v>0.623623188405797</v>
      </c>
      <c r="K29" s="62" t="n">
        <f aca="false">IF(K25=0,0,K27/K25)</f>
        <v>0.785714285714286</v>
      </c>
      <c r="L29" s="62" t="n">
        <f aca="false">IF(L25=0,0,L27/L25)</f>
        <v>0.651617647058824</v>
      </c>
      <c r="M29" s="62" t="n">
        <f aca="false">IF(M25=0,0,M27/M25)</f>
        <v>0.541926714699211</v>
      </c>
      <c r="N29" s="62" t="n">
        <f aca="false">IF(N25=0,0,N27/N25)</f>
        <v>0.464417116100535</v>
      </c>
      <c r="O29" s="62" t="n">
        <f aca="false">IF(O25=0,0,O27/O25)</f>
        <v>0.476516716617934</v>
      </c>
      <c r="P29" s="62" t="n">
        <f aca="false">IF(P25=0,0,P27/P25)</f>
        <v>0.564826534608379</v>
      </c>
      <c r="Q29" s="62" t="n">
        <f aca="false">IF(Q25=0,0,Q27/Q25)</f>
        <v>0.453335058479532</v>
      </c>
      <c r="R29" s="62" t="n">
        <f aca="false">IF(R25=0,0,R27/R25)</f>
        <v>0.500011249828046</v>
      </c>
      <c r="S29" s="62" t="n">
        <f aca="false">IF(S25=0,0,S27/S25)</f>
        <v>0.481835779502378</v>
      </c>
      <c r="T29" s="62" t="n">
        <f aca="false">IF(T25=0,0,T27/T25)</f>
        <v>0.52388239271065</v>
      </c>
      <c r="U29" s="62" t="n">
        <f aca="false">IF(U25=0,0,U27/U25)</f>
        <v>0.521954566342008</v>
      </c>
      <c r="V29" s="62" t="n">
        <f aca="false">IF(V25=0,0,V27/V25)</f>
        <v>0.568142827825586</v>
      </c>
      <c r="W29" s="62" t="n">
        <f aca="false">IF(W25=0,0,W27/W25)</f>
        <v>0.699428336014267</v>
      </c>
      <c r="X29" s="62" t="n">
        <f aca="false">IF(X25=0,0,X27/X25)</f>
        <v>0.561500482590457</v>
      </c>
      <c r="Y29" s="62" t="n">
        <f aca="false">IF(Y25=0,0,Y27/Y25)</f>
        <v>0.464181618670886</v>
      </c>
      <c r="Z29" s="62" t="n">
        <f aca="false">IF(Z25=0,0,Z27/Z25)</f>
        <v>0.454756887195122</v>
      </c>
      <c r="AA29" s="62" t="n">
        <f aca="false">IF(AA25=0,0,AA27/AA25)</f>
        <v>0.490658746710526</v>
      </c>
      <c r="AB29" s="62" t="n">
        <f aca="false">IF(AB25=0,0,AB27/AB25)</f>
        <v>0.596954504098361</v>
      </c>
    </row>
    <row r="30" customFormat="false" ht="15" hidden="false" customHeight="false" outlineLevel="0" collapsed="false">
      <c r="A30" s="28" t="s">
        <v>1045</v>
      </c>
      <c r="B30" s="58" t="s">
        <v>1046</v>
      </c>
      <c r="C30" s="59" t="n">
        <f aca="false">SUM(E30:P30)</f>
        <v>576305.628819444</v>
      </c>
      <c r="D30" s="59" t="n">
        <f aca="false">SUM(Q30:AB30)</f>
        <v>587175.759390278</v>
      </c>
      <c r="E30" s="60" t="n">
        <f aca="false">E26*Assumptions!$C$34*E72</f>
        <v>43974.625</v>
      </c>
      <c r="F30" s="60" t="n">
        <f aca="false">F26*Assumptions!$C$34*F72</f>
        <v>42008.25</v>
      </c>
      <c r="G30" s="60" t="n">
        <f aca="false">G26*Assumptions!$C$34*G72</f>
        <v>42744.875</v>
      </c>
      <c r="H30" s="60" t="n">
        <f aca="false">H26*Assumptions!$C$34*H72</f>
        <v>45749.875</v>
      </c>
      <c r="I30" s="60" t="n">
        <f aca="false">I26*Assumptions!$C$34*I72</f>
        <v>48178.875</v>
      </c>
      <c r="J30" s="60" t="n">
        <f aca="false">J26*Assumptions!$C$34*J72</f>
        <v>53789.125</v>
      </c>
      <c r="K30" s="60" t="n">
        <f aca="false">K26*Assumptions!$C$34*K72</f>
        <v>55010.625</v>
      </c>
      <c r="L30" s="60" t="n">
        <f aca="false">L26*Assumptions!$C$34*L72</f>
        <v>55394.25</v>
      </c>
      <c r="M30" s="60" t="n">
        <f aca="false">M26*Assumptions!$C$34*M72</f>
        <v>53515.2630765471</v>
      </c>
      <c r="N30" s="60" t="n">
        <f aca="false">N26*Assumptions!$C$34*N72</f>
        <v>47602.7544003048</v>
      </c>
      <c r="O30" s="60" t="n">
        <f aca="false">O26*Assumptions!$C$34*O72</f>
        <v>45269.0880787037</v>
      </c>
      <c r="P30" s="60" t="n">
        <f aca="false">P26*Assumptions!$C$34*P72</f>
        <v>43068.0232638889</v>
      </c>
      <c r="Q30" s="60" t="n">
        <f aca="false">Q26*Assumptions!$C$34*Q72</f>
        <v>44789.5037777778</v>
      </c>
      <c r="R30" s="60" t="n">
        <f aca="false">R26*Assumptions!$C$34*R72</f>
        <v>47451.0676086816</v>
      </c>
      <c r="S30" s="60" t="n">
        <f aca="false">S26*Assumptions!$C$34*S72</f>
        <v>49484.5345548942</v>
      </c>
      <c r="T30" s="60" t="n">
        <f aca="false">T26*Assumptions!$C$34*T72</f>
        <v>51078.5332892884</v>
      </c>
      <c r="U30" s="60" t="n">
        <f aca="false">U26*Assumptions!$C$34*U72</f>
        <v>50890.5702183457</v>
      </c>
      <c r="V30" s="60" t="n">
        <f aca="false">V26*Assumptions!$C$34*V72</f>
        <v>50962.4116559551</v>
      </c>
      <c r="W30" s="60" t="n">
        <f aca="false">W26*Assumptions!$C$34*W72</f>
        <v>50918.3828618386</v>
      </c>
      <c r="X30" s="60" t="n">
        <f aca="false">X26*Assumptions!$C$34*X72</f>
        <v>49636.6426609964</v>
      </c>
      <c r="Y30" s="60" t="n">
        <f aca="false">Y26*Assumptions!$C$34*Y72</f>
        <v>47671.4522375</v>
      </c>
      <c r="Z30" s="60" t="n">
        <f aca="false">Z26*Assumptions!$C$34*Z72</f>
        <v>48477.084175</v>
      </c>
      <c r="AA30" s="60" t="n">
        <f aca="false">AA26*Assumptions!$C$34*AA72</f>
        <v>48477.084175</v>
      </c>
      <c r="AB30" s="60" t="n">
        <f aca="false">AB26*Assumptions!$C$34*AB72</f>
        <v>47338.492175</v>
      </c>
    </row>
    <row r="31" customFormat="false" ht="15" hidden="false" customHeight="false" outlineLevel="0" collapsed="false">
      <c r="A31" s="22" t="s">
        <v>1047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row>
    <row r="32" customFormat="false" ht="15" hidden="false" customHeight="false" outlineLevel="0" collapsed="false">
      <c r="A32" s="28" t="s">
        <v>311</v>
      </c>
      <c r="B32" s="58" t="s">
        <v>1035</v>
      </c>
      <c r="C32" s="66" t="n">
        <f aca="false">P32</f>
        <v>9</v>
      </c>
      <c r="D32" s="66" t="n">
        <f aca="false">AB32</f>
        <v>9.4</v>
      </c>
      <c r="E32" s="67" t="n">
        <f aca="false">IF(E$5="A",Inputs_Actuals!E133,Inputs_Actuals!E133+E20-E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F32" s="67" t="n">
        <f aca="false">IF(F$5="A",Inputs_Actuals!F133,E32+F20-F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G32" s="67" t="n">
        <f aca="false">IF(G$5="A",Inputs_Actuals!G133,F32+G20-G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H32" s="67" t="n">
        <f aca="false">IF(H$5="A",Inputs_Actuals!H133,G32+H20-H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I32" s="67" t="n">
        <f aca="false">IF(I$5="A",Inputs_Actuals!I133,H32+I20-I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8</v>
      </c>
      <c r="J32" s="67" t="n">
        <f aca="false">IF(J$5="A",Inputs_Actuals!J133,I32+J20-J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8</v>
      </c>
      <c r="K32" s="67" t="n">
        <f aca="false">IF(K$5="A",Inputs_Actuals!K133,J32+K20-K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L32" s="67" t="n">
        <f aca="false">IF(L$5="A",Inputs_Actuals!L133,K32+L20-L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M32" s="67" t="n">
        <f aca="false">IF(M$5="A",Inputs_Actuals!M133,L32+M20-M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N32" s="67" t="n">
        <f aca="false">IF(N$5="A",Inputs_Actuals!N133,M32+N20-N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O32" s="67" t="n">
        <f aca="false">IF(O$5="A",Inputs_Actuals!O133,N32+O20-O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P32" s="67" t="n">
        <f aca="false">IF(P$5="A",Inputs_Actuals!P133,O32+P20-P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Q32" s="67" t="n">
        <f aca="false">IF(Q$5="A",Inputs_Actuals!Q133,P32+Q20-Q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R32" s="67" t="n">
        <f aca="false">IF(R$5="A",Inputs_Actuals!R133,Q32+R20-R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v>
      </c>
      <c r="S32" s="67" t="n">
        <f aca="false">IF(S$5="A",Inputs_Actuals!S133,R32+S20-S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T32" s="67" t="n">
        <f aca="false">IF(T$5="A",Inputs_Actuals!T133,S32+T20-T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U32" s="67" t="n">
        <f aca="false">IF(U$5="A",Inputs_Actuals!U133,T32+U20-U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V32" s="67" t="n">
        <f aca="false">IF(V$5="A",Inputs_Actuals!V133,U32+V20-V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W32" s="67" t="n">
        <f aca="false">IF(W$5="A",Inputs_Actuals!W133,V32+W20-W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X32" s="67" t="n">
        <f aca="false">IF(X$5="A",Inputs_Actuals!X133,W32+X20-X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Y32" s="67" t="n">
        <f aca="false">IF(Y$5="A",Inputs_Actuals!Y133,X32+Y20-Y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Z32" s="67" t="n">
        <f aca="false">IF(Z$5="A",Inputs_Actuals!Z133,Y32+Z20-Z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AA32" s="67" t="n">
        <f aca="false">IF(AA$5="A",Inputs_Actuals!AA133,Z32+AA20-AA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c r="AB32" s="67" t="n">
        <f aca="false">IF(AB$5="A",Inputs_Actuals!AB133,AA32+AB20-AB22*INDEX(Inputs_Actuals!$E$133:$AB$133,Assumptions!$C$10)/(INDEX(Inputs_Actuals!$E$132:$AB$132,Assumptions!$C$10)+INDEX(Inputs_Actuals!$E$133:$AB$133,Assumptions!$C$10)+INDEX(Inputs_Actuals!$E$134:$AB$134,Assumptions!$C$10)+INDEX(Inputs_Actuals!$E$135:$AB$135,Assumptions!$C$10)+INDEX(Inputs_Actuals!$E$136:$AB$136,Assumptions!$C$10)+INDEX(Inputs_Actuals!$E$137:$AB$137,Assumptions!$C$10)))</f>
        <v>9.4</v>
      </c>
    </row>
    <row r="33" customFormat="false" ht="15" hidden="false" customHeight="false" outlineLevel="0" collapsed="false">
      <c r="A33" s="28" t="s">
        <v>1036</v>
      </c>
      <c r="B33" s="58" t="s">
        <v>1037</v>
      </c>
      <c r="C33" s="66" t="n">
        <f aca="false">SUM(E33:P33)</f>
        <v>15354</v>
      </c>
      <c r="D33" s="66" t="n">
        <f aca="false">SUM(Q33:AB33)</f>
        <v>16218</v>
      </c>
      <c r="E33" s="67" t="n">
        <f aca="false">E32*Assumptions!E$107</f>
        <v>1368</v>
      </c>
      <c r="F33" s="67" t="n">
        <f aca="false">F32*Assumptions!F$107</f>
        <v>1314</v>
      </c>
      <c r="G33" s="67" t="n">
        <f aca="false">G32*Assumptions!G$107</f>
        <v>1422</v>
      </c>
      <c r="H33" s="67" t="n">
        <f aca="false">H32*Assumptions!H$107</f>
        <v>1350</v>
      </c>
      <c r="I33" s="67" t="n">
        <f aca="false">I32*Assumptions!I$107</f>
        <v>1200</v>
      </c>
      <c r="J33" s="67" t="n">
        <f aca="false">J32*Assumptions!J$107</f>
        <v>1104</v>
      </c>
      <c r="K33" s="67" t="n">
        <f aca="false">K32*Assumptions!K$107</f>
        <v>1008</v>
      </c>
      <c r="L33" s="67" t="n">
        <f aca="false">L32*Assumptions!L$107</f>
        <v>1224</v>
      </c>
      <c r="M33" s="67" t="n">
        <f aca="false">M32*Assumptions!M$107</f>
        <v>1422</v>
      </c>
      <c r="N33" s="67" t="n">
        <f aca="false">N32*Assumptions!N$107</f>
        <v>1476</v>
      </c>
      <c r="O33" s="67" t="n">
        <f aca="false">O32*Assumptions!O$107</f>
        <v>1368</v>
      </c>
      <c r="P33" s="67" t="n">
        <f aca="false">P32*Assumptions!P$107</f>
        <v>1098</v>
      </c>
      <c r="Q33" s="67" t="n">
        <f aca="false">Q32*Assumptions!Q$107</f>
        <v>1368</v>
      </c>
      <c r="R33" s="67" t="n">
        <f aca="false">R32*Assumptions!R$107</f>
        <v>1314</v>
      </c>
      <c r="S33" s="67" t="n">
        <f aca="false">S32*Assumptions!S$107</f>
        <v>1485.2</v>
      </c>
      <c r="T33" s="67" t="n">
        <f aca="false">T32*Assumptions!T$107</f>
        <v>1410</v>
      </c>
      <c r="U33" s="67" t="n">
        <f aca="false">U32*Assumptions!U$107</f>
        <v>1410</v>
      </c>
      <c r="V33" s="67" t="n">
        <f aca="false">V32*Assumptions!V$107</f>
        <v>1297.2</v>
      </c>
      <c r="W33" s="67" t="n">
        <f aca="false">W32*Assumptions!W$107</f>
        <v>1052.8</v>
      </c>
      <c r="X33" s="67" t="n">
        <f aca="false">X32*Assumptions!X$107</f>
        <v>1278.4</v>
      </c>
      <c r="Y33" s="67" t="n">
        <f aca="false">Y32*Assumptions!Y$107</f>
        <v>1485.2</v>
      </c>
      <c r="Z33" s="67" t="n">
        <f aca="false">Z32*Assumptions!Z$107</f>
        <v>1541.6</v>
      </c>
      <c r="AA33" s="67" t="n">
        <f aca="false">AA32*Assumptions!AA$107</f>
        <v>1428.8</v>
      </c>
      <c r="AB33" s="67" t="n">
        <f aca="false">AB32*Assumptions!AB$107</f>
        <v>1146.8</v>
      </c>
    </row>
    <row r="34" customFormat="false" ht="15" hidden="false" customHeight="false" outlineLevel="0" collapsed="false">
      <c r="A34" s="28" t="s">
        <v>1038</v>
      </c>
      <c r="B34" s="58" t="s">
        <v>1039</v>
      </c>
      <c r="C34" s="66" t="n">
        <f aca="false">SUM(E34:P34)</f>
        <v>11517.9890817606</v>
      </c>
      <c r="D34" s="66" t="n">
        <f aca="false">SUM(Q34:AB34)</f>
        <v>11631.8210591667</v>
      </c>
      <c r="E34" s="67" t="n">
        <f aca="false">IF(E$5="A",Inputs_Actuals!E139+Inputs_Actuals!E145,E9*Assumptions!$D$79+E10*Assumptions!$D$80+E11*Assumptions!$D$81+E12*Assumptions!$D$82+E13*Assumptions!$D$83+E14*Assumptions!$D$84)</f>
        <v>830.321</v>
      </c>
      <c r="F34" s="67" t="n">
        <f aca="false">IF(F$5="A",Inputs_Actuals!F139+Inputs_Actuals!F145,F9*Assumptions!$D$79+F10*Assumptions!$D$80+F11*Assumptions!$D$81+F12*Assumptions!$D$82+F13*Assumptions!$D$83+F14*Assumptions!$D$84)</f>
        <v>771.158</v>
      </c>
      <c r="G34" s="67" t="n">
        <f aca="false">IF(G$5="A",Inputs_Actuals!G139+Inputs_Actuals!G145,G9*Assumptions!$D$79+G10*Assumptions!$D$80+G11*Assumptions!$D$81+G12*Assumptions!$D$82+G13*Assumptions!$D$83+G14*Assumptions!$D$84)</f>
        <v>822.075</v>
      </c>
      <c r="H34" s="67" t="n">
        <f aca="false">IF(H$5="A",Inputs_Actuals!H139+Inputs_Actuals!H145,H9*Assumptions!$D$79+H10*Assumptions!$D$80+H11*Assumptions!$D$81+H12*Assumptions!$D$82+H13*Assumptions!$D$83+H14*Assumptions!$D$84)</f>
        <v>904.695</v>
      </c>
      <c r="I34" s="67" t="n">
        <f aca="false">IF(I$5="A",Inputs_Actuals!I139+Inputs_Actuals!I145,I9*Assumptions!$D$79+I10*Assumptions!$D$80+I11*Assumptions!$D$81+I12*Assumptions!$D$82+I13*Assumptions!$D$83+I14*Assumptions!$D$84)</f>
        <v>970.972</v>
      </c>
      <c r="J34" s="67" t="n">
        <f aca="false">IF(J$5="A",Inputs_Actuals!J139+Inputs_Actuals!J145,J9*Assumptions!$D$79+J10*Assumptions!$D$80+J11*Assumptions!$D$81+J12*Assumptions!$D$82+J13*Assumptions!$D$83+J14*Assumptions!$D$84)</f>
        <v>1093.5</v>
      </c>
      <c r="K34" s="67" t="n">
        <f aca="false">IF(K$5="A",Inputs_Actuals!K139+Inputs_Actuals!K145,K9*Assumptions!$D$79+K10*Assumptions!$D$80+K11*Assumptions!$D$81+K12*Assumptions!$D$82+K13*Assumptions!$D$83+K14*Assumptions!$D$84)</f>
        <v>1094.891</v>
      </c>
      <c r="L34" s="67" t="n">
        <f aca="false">IF(L$5="A",Inputs_Actuals!L139+Inputs_Actuals!L145,L9*Assumptions!$D$79+L10*Assumptions!$D$80+L11*Assumptions!$D$81+L12*Assumptions!$D$82+L13*Assumptions!$D$83+L14*Assumptions!$D$84)</f>
        <v>1137.359</v>
      </c>
      <c r="M34" s="67" t="n">
        <f aca="false">IF(M$5="A",Inputs_Actuals!M139+Inputs_Actuals!M145,M9*Assumptions!$D$79+M10*Assumptions!$D$80+M11*Assumptions!$D$81+M12*Assumptions!$D$82+M13*Assumptions!$D$83+M14*Assumptions!$D$84)</f>
        <v>1109.69184419035</v>
      </c>
      <c r="N34" s="67" t="n">
        <f aca="false">IF(N$5="A",Inputs_Actuals!N139+Inputs_Actuals!N145,N9*Assumptions!$D$79+N10*Assumptions!$D$80+N11*Assumptions!$D$81+N12*Assumptions!$D$82+N13*Assumptions!$D$83+N14*Assumptions!$D$84)</f>
        <v>1014.72866213237</v>
      </c>
      <c r="O34" s="67" t="n">
        <f aca="false">IF(O$5="A",Inputs_Actuals!O139+Inputs_Actuals!O145,O9*Assumptions!$D$79+O10*Assumptions!$D$80+O11*Assumptions!$D$81+O12*Assumptions!$D$82+O13*Assumptions!$D$83+O14*Assumptions!$D$84)</f>
        <v>932.539155798491</v>
      </c>
      <c r="P34" s="67" t="n">
        <f aca="false">IF(P$5="A",Inputs_Actuals!P139+Inputs_Actuals!P145,P9*Assumptions!$D$79+P10*Assumptions!$D$80+P11*Assumptions!$D$81+P12*Assumptions!$D$82+P13*Assumptions!$D$83+P14*Assumptions!$D$84)</f>
        <v>836.058419639432</v>
      </c>
      <c r="Q34" s="67" t="n">
        <f aca="false">IF(Q$5="A",Inputs_Actuals!Q139+Inputs_Actuals!Q145,Q9*Assumptions!$D$79+Q10*Assumptions!$D$80+Q11*Assumptions!$D$81+Q12*Assumptions!$D$82+Q13*Assumptions!$D$83+Q14*Assumptions!$D$84)</f>
        <v>879.036026354047</v>
      </c>
      <c r="R34" s="67" t="n">
        <f aca="false">IF(R$5="A",Inputs_Actuals!R139+Inputs_Actuals!R145,R9*Assumptions!$D$79+R10*Assumptions!$D$80+R11*Assumptions!$D$81+R12*Assumptions!$D$82+R13*Assumptions!$D$83+R14*Assumptions!$D$84)</f>
        <v>949.722147748733</v>
      </c>
      <c r="S34" s="67" t="n">
        <f aca="false">IF(S$5="A",Inputs_Actuals!S139+Inputs_Actuals!S145,S9*Assumptions!$D$79+S10*Assumptions!$D$80+S11*Assumptions!$D$81+S12*Assumptions!$D$82+S13*Assumptions!$D$83+S14*Assumptions!$D$84)</f>
        <v>1012.4486716811</v>
      </c>
      <c r="T34" s="67" t="n">
        <f aca="false">IF(T$5="A",Inputs_Actuals!T139+Inputs_Actuals!T145,T9*Assumptions!$D$79+T10*Assumptions!$D$80+T11*Assumptions!$D$81+T12*Assumptions!$D$82+T13*Assumptions!$D$83+T14*Assumptions!$D$84)</f>
        <v>1040.55096223844</v>
      </c>
      <c r="U34" s="67" t="n">
        <f aca="false">IF(U$5="A",Inputs_Actuals!U139+Inputs_Actuals!U145,U9*Assumptions!$D$79+U10*Assumptions!$D$80+U11*Assumptions!$D$81+U12*Assumptions!$D$82+U13*Assumptions!$D$83+U14*Assumptions!$D$84)</f>
        <v>1035.12895057664</v>
      </c>
      <c r="V34" s="67" t="n">
        <f aca="false">IF(V$5="A",Inputs_Actuals!V139+Inputs_Actuals!V145,V9*Assumptions!$D$79+V10*Assumptions!$D$80+V11*Assumptions!$D$81+V12*Assumptions!$D$82+V13*Assumptions!$D$83+V14*Assumptions!$D$84)</f>
        <v>1004.1192055526</v>
      </c>
      <c r="W34" s="67" t="n">
        <f aca="false">IF(W$5="A",Inputs_Actuals!W139+Inputs_Actuals!W145,W9*Assumptions!$D$79+W10*Assumptions!$D$80+W11*Assumptions!$D$81+W12*Assumptions!$D$82+W13*Assumptions!$D$83+W14*Assumptions!$D$84)</f>
        <v>981.386682302021</v>
      </c>
      <c r="X34" s="67" t="n">
        <f aca="false">IF(X$5="A",Inputs_Actuals!X139+Inputs_Actuals!X145,X9*Assumptions!$D$79+X10*Assumptions!$D$80+X11*Assumptions!$D$81+X12*Assumptions!$D$82+X13*Assumptions!$D$83+X14*Assumptions!$D$84)</f>
        <v>968.772440649417</v>
      </c>
      <c r="Y34" s="67" t="n">
        <f aca="false">IF(Y$5="A",Inputs_Actuals!Y139+Inputs_Actuals!Y145,Y9*Assumptions!$D$79+Y10*Assumptions!$D$80+Y11*Assumptions!$D$81+Y12*Assumptions!$D$82+Y13*Assumptions!$D$83+Y14*Assumptions!$D$84)</f>
        <v>934.413369280303</v>
      </c>
      <c r="Z34" s="67" t="n">
        <f aca="false">IF(Z$5="A",Inputs_Actuals!Z139+Inputs_Actuals!Z145,Z9*Assumptions!$D$79+Z10*Assumptions!$D$80+Z11*Assumptions!$D$81+Z12*Assumptions!$D$82+Z13*Assumptions!$D$83+Z14*Assumptions!$D$84)</f>
        <v>971.298142623226</v>
      </c>
      <c r="AA34" s="67" t="n">
        <f aca="false">IF(AA$5="A",Inputs_Actuals!AA139+Inputs_Actuals!AA145,AA9*Assumptions!$D$79+AA10*Assumptions!$D$80+AA11*Assumptions!$D$81+AA12*Assumptions!$D$82+AA13*Assumptions!$D$83+AA14*Assumptions!$D$84)</f>
        <v>959.11862593738</v>
      </c>
      <c r="AB34" s="67" t="n">
        <f aca="false">IF(AB$5="A",Inputs_Actuals!AB139+Inputs_Actuals!AB145,AB9*Assumptions!$D$79+AB10*Assumptions!$D$80+AB11*Assumptions!$D$81+AB12*Assumptions!$D$82+AB13*Assumptions!$D$83+AB14*Assumptions!$D$84)</f>
        <v>895.825834222766</v>
      </c>
    </row>
    <row r="35" customFormat="false" ht="15" hidden="false" customHeight="false" outlineLevel="0" collapsed="false">
      <c r="A35" s="28" t="s">
        <v>1040</v>
      </c>
      <c r="B35" s="58" t="s">
        <v>1041</v>
      </c>
      <c r="C35" s="66" t="n">
        <f aca="false">SUM(E35:P35)</f>
        <v>11121.4180817606</v>
      </c>
      <c r="D35" s="66" t="n">
        <f aca="false">SUM(Q35:AB35)</f>
        <v>11576.8983768646</v>
      </c>
      <c r="E35" s="67" t="n">
        <f aca="false">IF(E$5="A",Inputs_Actuals!E139,MIN(E34,E33*Assumptions!$C$32))</f>
        <v>830.3</v>
      </c>
      <c r="F35" s="67" t="n">
        <f aca="false">IF(F$5="A",Inputs_Actuals!F139,MIN(F34,F33*Assumptions!$C$32))</f>
        <v>771.1</v>
      </c>
      <c r="G35" s="67" t="n">
        <f aca="false">IF(G$5="A",Inputs_Actuals!G139,MIN(G34,G33*Assumptions!$C$32))</f>
        <v>822</v>
      </c>
      <c r="H35" s="67" t="n">
        <f aca="false">IF(H$5="A",Inputs_Actuals!H139,MIN(H34,H33*Assumptions!$C$32))</f>
        <v>904.6</v>
      </c>
      <c r="I35" s="67" t="n">
        <f aca="false">IF(I$5="A",Inputs_Actuals!I139,MIN(I34,I33*Assumptions!$C$32))</f>
        <v>970.9</v>
      </c>
      <c r="J35" s="67" t="n">
        <f aca="false">IF(J$5="A",Inputs_Actuals!J139,MIN(J34,J33*Assumptions!$C$32))</f>
        <v>984.5</v>
      </c>
      <c r="K35" s="67" t="n">
        <f aca="false">IF(K$5="A",Inputs_Actuals!K139,MIN(K34,K33*Assumptions!$C$32))</f>
        <v>885.2</v>
      </c>
      <c r="L35" s="67" t="n">
        <f aca="false">IF(L$5="A",Inputs_Actuals!L139,MIN(L34,L33*Assumptions!$C$32))</f>
        <v>1059.8</v>
      </c>
      <c r="M35" s="67" t="n">
        <f aca="false">IF(M$5="A",Inputs_Actuals!M139,MIN(M34,M33*Assumptions!$C$32))</f>
        <v>1109.69184419035</v>
      </c>
      <c r="N35" s="67" t="n">
        <f aca="false">IF(N$5="A",Inputs_Actuals!N139,MIN(N34,N33*Assumptions!$C$32))</f>
        <v>1014.72866213237</v>
      </c>
      <c r="O35" s="67" t="n">
        <f aca="false">IF(O$5="A",Inputs_Actuals!O139,MIN(O34,O33*Assumptions!$C$32))</f>
        <v>932.539155798491</v>
      </c>
      <c r="P35" s="67" t="n">
        <f aca="false">IF(P$5="A",Inputs_Actuals!P139,MIN(P34,P33*Assumptions!$C$32))</f>
        <v>836.058419639432</v>
      </c>
      <c r="Q35" s="67" t="n">
        <f aca="false">IF(Q$5="A",Inputs_Actuals!Q139,MIN(Q34,Q33*Assumptions!$C$32))</f>
        <v>879.036026354047</v>
      </c>
      <c r="R35" s="67" t="n">
        <f aca="false">IF(R$5="A",Inputs_Actuals!R139,MIN(R34,R33*Assumptions!$C$32))</f>
        <v>949.722147748733</v>
      </c>
      <c r="S35" s="67" t="n">
        <f aca="false">IF(S$5="A",Inputs_Actuals!S139,MIN(S34,S33*Assumptions!$C$32))</f>
        <v>1012.4486716811</v>
      </c>
      <c r="T35" s="67" t="n">
        <f aca="false">IF(T$5="A",Inputs_Actuals!T139,MIN(T34,T33*Assumptions!$C$32))</f>
        <v>1040.55096223844</v>
      </c>
      <c r="U35" s="67" t="n">
        <f aca="false">IF(U$5="A",Inputs_Actuals!U139,MIN(U34,U33*Assumptions!$C$32))</f>
        <v>1035.12895057664</v>
      </c>
      <c r="V35" s="67" t="n">
        <f aca="false">IF(V$5="A",Inputs_Actuals!V139,MIN(V34,V33*Assumptions!$C$32))</f>
        <v>1004.1192055526</v>
      </c>
      <c r="W35" s="67" t="n">
        <f aca="false">IF(W$5="A",Inputs_Actuals!W139,MIN(W34,W33*Assumptions!$C$32))</f>
        <v>926.464</v>
      </c>
      <c r="X35" s="67" t="n">
        <f aca="false">IF(X$5="A",Inputs_Actuals!X139,MIN(X34,X33*Assumptions!$C$32))</f>
        <v>968.772440649417</v>
      </c>
      <c r="Y35" s="67" t="n">
        <f aca="false">IF(Y$5="A",Inputs_Actuals!Y139,MIN(Y34,Y33*Assumptions!$C$32))</f>
        <v>934.413369280303</v>
      </c>
      <c r="Z35" s="67" t="n">
        <f aca="false">IF(Z$5="A",Inputs_Actuals!Z139,MIN(Z34,Z33*Assumptions!$C$32))</f>
        <v>971.298142623226</v>
      </c>
      <c r="AA35" s="67" t="n">
        <f aca="false">IF(AA$5="A",Inputs_Actuals!AA139,MIN(AA34,AA33*Assumptions!$C$32))</f>
        <v>959.11862593738</v>
      </c>
      <c r="AB35" s="67" t="n">
        <f aca="false">IF(AB$5="A",Inputs_Actuals!AB139,MIN(AB34,AB33*Assumptions!$C$32))</f>
        <v>895.825834222766</v>
      </c>
    </row>
    <row r="36" customFormat="false" ht="15" hidden="false" customHeight="false" outlineLevel="0" collapsed="false">
      <c r="A36" s="28" t="s">
        <v>1042</v>
      </c>
      <c r="B36" s="58" t="s">
        <v>1043</v>
      </c>
      <c r="C36" s="66" t="n">
        <f aca="false">SUM(E36:P36)</f>
        <v>396.571</v>
      </c>
      <c r="D36" s="66" t="n">
        <f aca="false">SUM(Q36:AB36)</f>
        <v>54.9226823020211</v>
      </c>
      <c r="E36" s="67" t="n">
        <f aca="false">IF(E$5="A",Inputs_Actuals!E145,E34-E35)</f>
        <v>0.0209999999999582</v>
      </c>
      <c r="F36" s="67" t="n">
        <f aca="false">IF(F$5="A",Inputs_Actuals!F145,F34-F35)</f>
        <v>0.0579999999999927</v>
      </c>
      <c r="G36" s="67" t="n">
        <f aca="false">IF(G$5="A",Inputs_Actuals!G145,G34-G35)</f>
        <v>0.0749999999999318</v>
      </c>
      <c r="H36" s="67" t="n">
        <f aca="false">IF(H$5="A",Inputs_Actuals!H145,H34-H35)</f>
        <v>0.0949999999999136</v>
      </c>
      <c r="I36" s="67" t="n">
        <f aca="false">IF(I$5="A",Inputs_Actuals!I145,I34-I35)</f>
        <v>0.0720000000000027</v>
      </c>
      <c r="J36" s="67" t="n">
        <f aca="false">IF(J$5="A",Inputs_Actuals!J145,J34-J35)</f>
        <v>109</v>
      </c>
      <c r="K36" s="67" t="n">
        <f aca="false">IF(K$5="A",Inputs_Actuals!K145,K34-K35)</f>
        <v>209.691</v>
      </c>
      <c r="L36" s="67" t="n">
        <f aca="false">IF(L$5="A",Inputs_Actuals!L145,L34-L35)</f>
        <v>77.559</v>
      </c>
      <c r="M36" s="67" t="n">
        <f aca="false">IF(M$5="A",Inputs_Actuals!M145,M34-M35)</f>
        <v>0</v>
      </c>
      <c r="N36" s="67" t="n">
        <f aca="false">IF(N$5="A",Inputs_Actuals!N145,N34-N35)</f>
        <v>0</v>
      </c>
      <c r="O36" s="67" t="n">
        <f aca="false">IF(O$5="A",Inputs_Actuals!O145,O34-O35)</f>
        <v>0</v>
      </c>
      <c r="P36" s="67" t="n">
        <f aca="false">IF(P$5="A",Inputs_Actuals!P145,P34-P35)</f>
        <v>0</v>
      </c>
      <c r="Q36" s="67" t="n">
        <f aca="false">IF(Q$5="A",Inputs_Actuals!Q145,Q34-Q35)</f>
        <v>0</v>
      </c>
      <c r="R36" s="67" t="n">
        <f aca="false">IF(R$5="A",Inputs_Actuals!R145,R34-R35)</f>
        <v>0</v>
      </c>
      <c r="S36" s="67" t="n">
        <f aca="false">IF(S$5="A",Inputs_Actuals!S145,S34-S35)</f>
        <v>0</v>
      </c>
      <c r="T36" s="67" t="n">
        <f aca="false">IF(T$5="A",Inputs_Actuals!T145,T34-T35)</f>
        <v>0</v>
      </c>
      <c r="U36" s="67" t="n">
        <f aca="false">IF(U$5="A",Inputs_Actuals!U145,U34-U35)</f>
        <v>0</v>
      </c>
      <c r="V36" s="67" t="n">
        <f aca="false">IF(V$5="A",Inputs_Actuals!V145,V34-V35)</f>
        <v>0</v>
      </c>
      <c r="W36" s="67" t="n">
        <f aca="false">IF(W$5="A",Inputs_Actuals!W145,W34-W35)</f>
        <v>54.9226823020211</v>
      </c>
      <c r="X36" s="67" t="n">
        <f aca="false">IF(X$5="A",Inputs_Actuals!X145,X34-X35)</f>
        <v>0</v>
      </c>
      <c r="Y36" s="67" t="n">
        <f aca="false">IF(Y$5="A",Inputs_Actuals!Y145,Y34-Y35)</f>
        <v>0</v>
      </c>
      <c r="Z36" s="67" t="n">
        <f aca="false">IF(Z$5="A",Inputs_Actuals!Z145,Z34-Z35)</f>
        <v>0</v>
      </c>
      <c r="AA36" s="67" t="n">
        <f aca="false">IF(AA$5="A",Inputs_Actuals!AA145,AA34-AA35)</f>
        <v>0</v>
      </c>
      <c r="AB36" s="67" t="n">
        <f aca="false">IF(AB$5="A",Inputs_Actuals!AB145,AB34-AB35)</f>
        <v>0</v>
      </c>
    </row>
    <row r="37" customFormat="false" ht="15" hidden="false" customHeight="false" outlineLevel="0" collapsed="false">
      <c r="A37" s="28" t="s">
        <v>1044</v>
      </c>
      <c r="B37" s="58"/>
      <c r="C37" s="61" t="n">
        <f aca="false">IF(C33=0,0,C35/C33)</f>
        <v>0.724333599176804</v>
      </c>
      <c r="D37" s="61" t="n">
        <f aca="false">IF(D33=0,0,D35/D33)</f>
        <v>0.713830211916676</v>
      </c>
      <c r="E37" s="62" t="n">
        <f aca="false">IF(E33=0,0,E35/E33)</f>
        <v>0.606944444444444</v>
      </c>
      <c r="F37" s="62" t="n">
        <f aca="false">IF(F33=0,0,F35/F33)</f>
        <v>0.586834094368341</v>
      </c>
      <c r="G37" s="62" t="n">
        <f aca="false">IF(G33=0,0,G35/G33)</f>
        <v>0.578059071729958</v>
      </c>
      <c r="H37" s="62" t="n">
        <f aca="false">IF(H33=0,0,H35/H33)</f>
        <v>0.670074074074074</v>
      </c>
      <c r="I37" s="62" t="n">
        <f aca="false">IF(I33=0,0,I35/I33)</f>
        <v>0.809083333333333</v>
      </c>
      <c r="J37" s="62" t="n">
        <f aca="false">IF(J33=0,0,J35/J33)</f>
        <v>0.891757246376812</v>
      </c>
      <c r="K37" s="62" t="n">
        <f aca="false">IF(K33=0,0,K35/K33)</f>
        <v>0.878174603174603</v>
      </c>
      <c r="L37" s="62" t="n">
        <f aca="false">IF(L33=0,0,L35/L33)</f>
        <v>0.865849673202614</v>
      </c>
      <c r="M37" s="62" t="n">
        <f aca="false">IF(M33=0,0,M35/M33)</f>
        <v>0.78037401138562</v>
      </c>
      <c r="N37" s="62" t="n">
        <f aca="false">IF(N33=0,0,N35/N33)</f>
        <v>0.687485543450115</v>
      </c>
      <c r="O37" s="62" t="n">
        <f aca="false">IF(O33=0,0,O35/O33)</f>
        <v>0.681680669443342</v>
      </c>
      <c r="P37" s="62" t="n">
        <f aca="false">IF(P33=0,0,P35/P33)</f>
        <v>0.761437540655221</v>
      </c>
      <c r="Q37" s="62" t="n">
        <f aca="false">IF(Q33=0,0,Q35/Q33)</f>
        <v>0.642570194703251</v>
      </c>
      <c r="R37" s="62" t="n">
        <f aca="false">IF(R33=0,0,R35/R33)</f>
        <v>0.722771801939675</v>
      </c>
      <c r="S37" s="62" t="n">
        <f aca="false">IF(S33=0,0,S35/S33)</f>
        <v>0.681691806949298</v>
      </c>
      <c r="T37" s="62" t="n">
        <f aca="false">IF(T33=0,0,T35/T33)</f>
        <v>0.737979405842868</v>
      </c>
      <c r="U37" s="62" t="n">
        <f aca="false">IF(U33=0,0,U35/U33)</f>
        <v>0.73413400750116</v>
      </c>
      <c r="V37" s="62" t="n">
        <f aca="false">IF(V33=0,0,V35/V33)</f>
        <v>0.774066609275823</v>
      </c>
      <c r="W37" s="62" t="n">
        <f aca="false">IF(W33=0,0,W35/W33)</f>
        <v>0.88</v>
      </c>
      <c r="X37" s="62" t="n">
        <f aca="false">IF(X33=0,0,X35/X33)</f>
        <v>0.757800720157554</v>
      </c>
      <c r="Y37" s="62" t="n">
        <f aca="false">IF(Y33=0,0,Y35/Y33)</f>
        <v>0.629149858120323</v>
      </c>
      <c r="Z37" s="62" t="n">
        <f aca="false">IF(Z33=0,0,Z35/Z33)</f>
        <v>0.630058473419321</v>
      </c>
      <c r="AA37" s="62" t="n">
        <f aca="false">IF(AA33=0,0,AA35/AA33)</f>
        <v>0.671275634054717</v>
      </c>
      <c r="AB37" s="62" t="n">
        <f aca="false">IF(AB33=0,0,AB35/AB33)</f>
        <v>0.781152628377019</v>
      </c>
    </row>
    <row r="38" customFormat="false" ht="15" hidden="false" customHeight="false" outlineLevel="0" collapsed="false">
      <c r="A38" s="28" t="s">
        <v>1045</v>
      </c>
      <c r="B38" s="58" t="s">
        <v>1046</v>
      </c>
      <c r="C38" s="59" t="n">
        <f aca="false">SUM(E38:P38)</f>
        <v>1209388.85358487</v>
      </c>
      <c r="D38" s="59" t="n">
        <f aca="false">SUM(Q38:AB38)</f>
        <v>1270194.859661</v>
      </c>
      <c r="E38" s="60" t="n">
        <f aca="false">E34*Assumptions!$C$35*E72</f>
        <v>87183.705</v>
      </c>
      <c r="F38" s="60" t="n">
        <f aca="false">F34*Assumptions!$C$35*F72</f>
        <v>80971.59</v>
      </c>
      <c r="G38" s="60" t="n">
        <f aca="false">G34*Assumptions!$C$35*G72</f>
        <v>86317.875</v>
      </c>
      <c r="H38" s="60" t="n">
        <f aca="false">H34*Assumptions!$C$35*H72</f>
        <v>94992.975</v>
      </c>
      <c r="I38" s="60" t="n">
        <f aca="false">I34*Assumptions!$C$35*I72</f>
        <v>101952.06</v>
      </c>
      <c r="J38" s="60" t="n">
        <f aca="false">J34*Assumptions!$C$35*J72</f>
        <v>114817.5</v>
      </c>
      <c r="K38" s="60" t="n">
        <f aca="false">K34*Assumptions!$C$35*K72</f>
        <v>114963.555</v>
      </c>
      <c r="L38" s="60" t="n">
        <f aca="false">L34*Assumptions!$C$35*L72</f>
        <v>119422.695</v>
      </c>
      <c r="M38" s="60" t="n">
        <f aca="false">M34*Assumptions!$C$35*M72</f>
        <v>116517.643639987</v>
      </c>
      <c r="N38" s="60" t="n">
        <f aca="false">N34*Assumptions!$C$35*N72</f>
        <v>106546.509523899</v>
      </c>
      <c r="O38" s="60" t="n">
        <f aca="false">O34*Assumptions!$C$35*O72</f>
        <v>97916.6113588416</v>
      </c>
      <c r="P38" s="60" t="n">
        <f aca="false">P34*Assumptions!$C$35*P72</f>
        <v>87786.1340621404</v>
      </c>
      <c r="Q38" s="60" t="n">
        <f aca="false">Q34*Assumptions!$C$35*Q72</f>
        <v>95990.7340778619</v>
      </c>
      <c r="R38" s="60" t="n">
        <f aca="false">R34*Assumptions!$C$35*R72</f>
        <v>103709.658534162</v>
      </c>
      <c r="S38" s="60" t="n">
        <f aca="false">S34*Assumptions!$C$35*S72</f>
        <v>110559.394947576</v>
      </c>
      <c r="T38" s="60" t="n">
        <f aca="false">T34*Assumptions!$C$35*T72</f>
        <v>113628.165076438</v>
      </c>
      <c r="U38" s="60" t="n">
        <f aca="false">U34*Assumptions!$C$35*U72</f>
        <v>113036.081402969</v>
      </c>
      <c r="V38" s="60" t="n">
        <f aca="false">V34*Assumptions!$C$35*V72</f>
        <v>109649.817246344</v>
      </c>
      <c r="W38" s="60" t="n">
        <f aca="false">W34*Assumptions!$C$35*W72</f>
        <v>107167.425707381</v>
      </c>
      <c r="X38" s="60" t="n">
        <f aca="false">X34*Assumptions!$C$35*X72</f>
        <v>105789.950518916</v>
      </c>
      <c r="Y38" s="60" t="n">
        <f aca="false">Y34*Assumptions!$C$35*Y72</f>
        <v>102037.939925409</v>
      </c>
      <c r="Z38" s="60" t="n">
        <f aca="false">Z34*Assumptions!$C$35*Z72</f>
        <v>106065.757174456</v>
      </c>
      <c r="AA38" s="60" t="n">
        <f aca="false">AA34*Assumptions!$C$35*AA72</f>
        <v>104735.753952362</v>
      </c>
      <c r="AB38" s="60" t="n">
        <f aca="false">AB34*Assumptions!$C$35*AB72</f>
        <v>97824.181097126</v>
      </c>
    </row>
    <row r="39" customFormat="false" ht="15" hidden="false" customHeight="false" outlineLevel="0" collapsed="false">
      <c r="A39" s="22" t="s">
        <v>1048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row>
    <row r="40" customFormat="false" ht="15" hidden="false" customHeight="false" outlineLevel="0" collapsed="false">
      <c r="A40" s="28" t="s">
        <v>311</v>
      </c>
      <c r="B40" s="58" t="s">
        <v>1035</v>
      </c>
      <c r="C40" s="66" t="n">
        <f aca="false">P40</f>
        <v>4</v>
      </c>
      <c r="D40" s="66" t="n">
        <f aca="false">AB40</f>
        <v>4</v>
      </c>
      <c r="E40" s="67" t="n">
        <f aca="false">IF(E$5="A",Inputs_Actuals!E134,Inputs_Actuals!E134-E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5</v>
      </c>
      <c r="F40" s="67" t="n">
        <f aca="false">IF(F$5="A",Inputs_Actuals!F134,E40-F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5</v>
      </c>
      <c r="G40" s="67" t="n">
        <f aca="false">IF(G$5="A",Inputs_Actuals!G134,F40-G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5</v>
      </c>
      <c r="H40" s="67" t="n">
        <f aca="false">IF(H$5="A",Inputs_Actuals!H134,G40-H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5</v>
      </c>
      <c r="I40" s="67" t="n">
        <f aca="false">IF(I$5="A",Inputs_Actuals!I134,H40-I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J40" s="67" t="n">
        <f aca="false">IF(J$5="A",Inputs_Actuals!J134,I40-J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K40" s="67" t="n">
        <f aca="false">IF(K$5="A",Inputs_Actuals!K134,J40-K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L40" s="67" t="n">
        <f aca="false">IF(L$5="A",Inputs_Actuals!L134,K40-L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M40" s="67" t="n">
        <f aca="false">IF(M$5="A",Inputs_Actuals!M134,L40-M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N40" s="67" t="n">
        <f aca="false">IF(N$5="A",Inputs_Actuals!N134,M40-N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O40" s="67" t="n">
        <f aca="false">IF(O$5="A",Inputs_Actuals!O134,N40-O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P40" s="67" t="n">
        <f aca="false">IF(P$5="A",Inputs_Actuals!P134,O40-P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Q40" s="67" t="n">
        <f aca="false">IF(Q$5="A",Inputs_Actuals!Q134,P40-Q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R40" s="67" t="n">
        <f aca="false">IF(R$5="A",Inputs_Actuals!R134,Q40-R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S40" s="67" t="n">
        <f aca="false">IF(S$5="A",Inputs_Actuals!S134,R40-S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T40" s="67" t="n">
        <f aca="false">IF(T$5="A",Inputs_Actuals!T134,S40-T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U40" s="67" t="n">
        <f aca="false">IF(U$5="A",Inputs_Actuals!U134,T40-U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V40" s="67" t="n">
        <f aca="false">IF(V$5="A",Inputs_Actuals!V134,U40-V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W40" s="67" t="n">
        <f aca="false">IF(W$5="A",Inputs_Actuals!W134,V40-W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X40" s="67" t="n">
        <f aca="false">IF(X$5="A",Inputs_Actuals!X134,W40-X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Y40" s="67" t="n">
        <f aca="false">IF(Y$5="A",Inputs_Actuals!Y134,X40-Y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Z40" s="67" t="n">
        <f aca="false">IF(Z$5="A",Inputs_Actuals!Z134,Y40-Z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AA40" s="67" t="n">
        <f aca="false">IF(AA$5="A",Inputs_Actuals!AA134,Z40-AA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c r="AB40" s="67" t="n">
        <f aca="false">IF(AB$5="A",Inputs_Actuals!AB134,AA40-AB22*INDEX(Inputs_Actuals!$E$134:$AB$134,Assumptions!$C$10)/(INDEX(Inputs_Actuals!$E$132:$AB$132,Assumptions!$C$10)+INDEX(Inputs_Actuals!$E$133:$AB$133,Assumptions!$C$10)+INDEX(Inputs_Actuals!$E$134:$AB$134,Assumptions!$C$10)+INDEX(Inputs_Actuals!$E$135:$AB$135,Assumptions!$C$10)+INDEX(Inputs_Actuals!$E$136:$AB$136,Assumptions!$C$10)+INDEX(Inputs_Actuals!$E$137:$AB$137,Assumptions!$C$10)))</f>
        <v>4</v>
      </c>
    </row>
    <row r="41" customFormat="false" ht="15" hidden="false" customHeight="false" outlineLevel="0" collapsed="false">
      <c r="A41" s="28" t="s">
        <v>1036</v>
      </c>
      <c r="B41" s="58" t="s">
        <v>1037</v>
      </c>
      <c r="C41" s="66" t="n">
        <f aca="false">SUM(E41:P41)</f>
        <v>7558</v>
      </c>
      <c r="D41" s="66" t="n">
        <f aca="false">SUM(Q41:AB41)</f>
        <v>6952</v>
      </c>
      <c r="E41" s="67" t="n">
        <f aca="false">E40*Assumptions!E$107</f>
        <v>760</v>
      </c>
      <c r="F41" s="67" t="n">
        <f aca="false">F40*Assumptions!F$107</f>
        <v>730</v>
      </c>
      <c r="G41" s="67" t="n">
        <f aca="false">G40*Assumptions!G$107</f>
        <v>790</v>
      </c>
      <c r="H41" s="67" t="n">
        <f aca="false">H40*Assumptions!H$107</f>
        <v>750</v>
      </c>
      <c r="I41" s="67" t="n">
        <f aca="false">I40*Assumptions!I$107</f>
        <v>600</v>
      </c>
      <c r="J41" s="67" t="n">
        <f aca="false">J40*Assumptions!J$107</f>
        <v>552</v>
      </c>
      <c r="K41" s="67" t="n">
        <f aca="false">K40*Assumptions!K$107</f>
        <v>448</v>
      </c>
      <c r="L41" s="67" t="n">
        <f aca="false">L40*Assumptions!L$107</f>
        <v>544</v>
      </c>
      <c r="M41" s="67" t="n">
        <f aca="false">M40*Assumptions!M$107</f>
        <v>632</v>
      </c>
      <c r="N41" s="67" t="n">
        <f aca="false">N40*Assumptions!N$107</f>
        <v>656</v>
      </c>
      <c r="O41" s="67" t="n">
        <f aca="false">O40*Assumptions!O$107</f>
        <v>608</v>
      </c>
      <c r="P41" s="67" t="n">
        <f aca="false">P40*Assumptions!P$107</f>
        <v>488</v>
      </c>
      <c r="Q41" s="67" t="n">
        <f aca="false">Q40*Assumptions!Q$107</f>
        <v>608</v>
      </c>
      <c r="R41" s="67" t="n">
        <f aca="false">R40*Assumptions!R$107</f>
        <v>584</v>
      </c>
      <c r="S41" s="67" t="n">
        <f aca="false">S40*Assumptions!S$107</f>
        <v>632</v>
      </c>
      <c r="T41" s="67" t="n">
        <f aca="false">T40*Assumptions!T$107</f>
        <v>600</v>
      </c>
      <c r="U41" s="67" t="n">
        <f aca="false">U40*Assumptions!U$107</f>
        <v>600</v>
      </c>
      <c r="V41" s="67" t="n">
        <f aca="false">V40*Assumptions!V$107</f>
        <v>552</v>
      </c>
      <c r="W41" s="67" t="n">
        <f aca="false">W40*Assumptions!W$107</f>
        <v>448</v>
      </c>
      <c r="X41" s="67" t="n">
        <f aca="false">X40*Assumptions!X$107</f>
        <v>544</v>
      </c>
      <c r="Y41" s="67" t="n">
        <f aca="false">Y40*Assumptions!Y$107</f>
        <v>632</v>
      </c>
      <c r="Z41" s="67" t="n">
        <f aca="false">Z40*Assumptions!Z$107</f>
        <v>656</v>
      </c>
      <c r="AA41" s="67" t="n">
        <f aca="false">AA40*Assumptions!AA$107</f>
        <v>608</v>
      </c>
      <c r="AB41" s="67" t="n">
        <f aca="false">AB40*Assumptions!AB$107</f>
        <v>488</v>
      </c>
    </row>
    <row r="42" customFormat="false" ht="15" hidden="false" customHeight="false" outlineLevel="0" collapsed="false">
      <c r="A42" s="28" t="s">
        <v>1038</v>
      </c>
      <c r="B42" s="58" t="s">
        <v>1039</v>
      </c>
      <c r="C42" s="66" t="n">
        <f aca="false">SUM(E42:P42)</f>
        <v>4010.39092638889</v>
      </c>
      <c r="D42" s="66" t="n">
        <f aca="false">SUM(Q42:AB42)</f>
        <v>3733.08716027778</v>
      </c>
      <c r="E42" s="67" t="n">
        <f aca="false">IF(E$5="A",Inputs_Actuals!E140+Inputs_Actuals!E146,E9*Assumptions!$E$79+E10*Assumptions!$E$80+E11*Assumptions!$E$81+E12*Assumptions!$E$82+E13*Assumptions!$E$83+E14*Assumptions!$E$84)</f>
        <v>317.606</v>
      </c>
      <c r="F42" s="67" t="n">
        <f aca="false">IF(F$5="A",Inputs_Actuals!F140+Inputs_Actuals!F146,F9*Assumptions!$E$79+F10*Assumptions!$E$80+F11*Assumptions!$E$81+F12*Assumptions!$E$82+F13*Assumptions!$E$83+F14*Assumptions!$E$84)</f>
        <v>305.617</v>
      </c>
      <c r="G42" s="67" t="n">
        <f aca="false">IF(G$5="A",Inputs_Actuals!G140+Inputs_Actuals!G146,G9*Assumptions!$E$79+G10*Assumptions!$E$80+G11*Assumptions!$E$81+G12*Assumptions!$E$82+G13*Assumptions!$E$83+G14*Assumptions!$E$84)</f>
        <v>310.447</v>
      </c>
      <c r="H42" s="67" t="n">
        <f aca="false">IF(H$5="A",Inputs_Actuals!H140+Inputs_Actuals!H146,H9*Assumptions!$E$79+H10*Assumptions!$E$80+H11*Assumptions!$E$81+H12*Assumptions!$E$82+H13*Assumptions!$E$83+H14*Assumptions!$E$84)</f>
        <v>308.015</v>
      </c>
      <c r="I42" s="67" t="n">
        <f aca="false">IF(I$5="A",Inputs_Actuals!I140+Inputs_Actuals!I146,I9*Assumptions!$E$79+I10*Assumptions!$E$80+I11*Assumptions!$E$81+I12*Assumptions!$E$82+I13*Assumptions!$E$83+I14*Assumptions!$E$84)</f>
        <v>320.112</v>
      </c>
      <c r="J42" s="67" t="n">
        <f aca="false">IF(J$5="A",Inputs_Actuals!J140+Inputs_Actuals!J146,J9*Assumptions!$E$79+J10*Assumptions!$E$80+J11*Assumptions!$E$81+J12*Assumptions!$E$82+J13*Assumptions!$E$83+J14*Assumptions!$E$84)</f>
        <v>385.244</v>
      </c>
      <c r="K42" s="67" t="n">
        <f aca="false">IF(K$5="A",Inputs_Actuals!K140+Inputs_Actuals!K146,K9*Assumptions!$E$79+K10*Assumptions!$E$80+K11*Assumptions!$E$81+K12*Assumptions!$E$82+K13*Assumptions!$E$83+K14*Assumptions!$E$84)</f>
        <v>390.895</v>
      </c>
      <c r="L42" s="67" t="n">
        <f aca="false">IF(L$5="A",Inputs_Actuals!L140+Inputs_Actuals!L146,L9*Assumptions!$E$79+L10*Assumptions!$E$80+L11*Assumptions!$E$81+L12*Assumptions!$E$82+L13*Assumptions!$E$83+L14*Assumptions!$E$84)</f>
        <v>396.24</v>
      </c>
      <c r="M42" s="67" t="n">
        <f aca="false">IF(M$5="A",Inputs_Actuals!M140+Inputs_Actuals!M146,M9*Assumptions!$E$79+M10*Assumptions!$E$80+M11*Assumptions!$E$81+M12*Assumptions!$E$82+M13*Assumptions!$E$83+M14*Assumptions!$E$84)</f>
        <v>378.253913299402</v>
      </c>
      <c r="N42" s="67" t="n">
        <f aca="false">IF(N$5="A",Inputs_Actuals!N140+Inputs_Actuals!N146,N9*Assumptions!$E$79+N10*Assumptions!$E$80+N11*Assumptions!$E$81+N12*Assumptions!$E$82+N13*Assumptions!$E$83+N14*Assumptions!$E$84)</f>
        <v>310.767666793191</v>
      </c>
      <c r="O42" s="67" t="n">
        <f aca="false">IF(O$5="A",Inputs_Actuals!O140+Inputs_Actuals!O146,O9*Assumptions!$E$79+O10*Assumptions!$E$80+O11*Assumptions!$E$81+O12*Assumptions!$E$82+O13*Assumptions!$E$83+O14*Assumptions!$E$84)</f>
        <v>299.099335185185</v>
      </c>
      <c r="P42" s="67" t="n">
        <f aca="false">IF(P$5="A",Inputs_Actuals!P140+Inputs_Actuals!P146,P9*Assumptions!$E$79+P10*Assumptions!$E$80+P11*Assumptions!$E$81+P12*Assumptions!$E$82+P13*Assumptions!$E$83+P14*Assumptions!$E$84)</f>
        <v>288.094011111111</v>
      </c>
      <c r="Q42" s="67" t="n">
        <f aca="false">IF(Q$5="A",Inputs_Actuals!Q140+Inputs_Actuals!Q146,Q9*Assumptions!$E$79+Q10*Assumptions!$E$80+Q11*Assumptions!$E$81+Q12*Assumptions!$E$82+Q13*Assumptions!$E$83+Q14*Assumptions!$E$84)</f>
        <v>275.869601319444</v>
      </c>
      <c r="R42" s="67" t="n">
        <f aca="false">IF(R$5="A",Inputs_Actuals!R140+Inputs_Actuals!R146,R9*Assumptions!$E$79+R10*Assumptions!$E$80+R11*Assumptions!$E$81+R12*Assumptions!$E$82+R13*Assumptions!$E$83+R14*Assumptions!$E$84)</f>
        <v>288.665581275713</v>
      </c>
      <c r="S42" s="67" t="n">
        <f aca="false">IF(S$5="A",Inputs_Actuals!S140+Inputs_Actuals!S146,S9*Assumptions!$E$79+S10*Assumptions!$E$80+S11*Assumptions!$E$81+S12*Assumptions!$E$82+S13*Assumptions!$E$83+S14*Assumptions!$E$84)</f>
        <v>299.106299983466</v>
      </c>
      <c r="T42" s="67" t="n">
        <f aca="false">IF(T$5="A",Inputs_Actuals!T140+Inputs_Actuals!T146,T9*Assumptions!$E$79+T10*Assumptions!$E$80+T11*Assumptions!$E$81+T12*Assumptions!$E$82+T13*Assumptions!$E$83+T14*Assumptions!$E$84)</f>
        <v>315.170110124784</v>
      </c>
      <c r="U42" s="67" t="n">
        <f aca="false">IF(U$5="A",Inputs_Actuals!U140+Inputs_Actuals!U146,U9*Assumptions!$E$79+U10*Assumptions!$E$80+U11*Assumptions!$E$81+U12*Assumptions!$E$82+U13*Assumptions!$E$83+U14*Assumptions!$E$84)</f>
        <v>314.266441514483</v>
      </c>
      <c r="V42" s="67" t="n">
        <f aca="false">IF(V$5="A",Inputs_Actuals!V140+Inputs_Actuals!V146,V9*Assumptions!$E$79+V10*Assumptions!$E$80+V11*Assumptions!$E$81+V12*Assumptions!$E$82+V13*Assumptions!$E$83+V14*Assumptions!$E$84)</f>
        <v>328.595951791451</v>
      </c>
      <c r="W42" s="67" t="n">
        <f aca="false">IF(W$5="A",Inputs_Actuals!W140+Inputs_Actuals!W146,W9*Assumptions!$E$79+W10*Assumptions!$E$80+W11*Assumptions!$E$81+W12*Assumptions!$E$82+W13*Assumptions!$E$83+W14*Assumptions!$E$84)</f>
        <v>329.28792692791</v>
      </c>
      <c r="X42" s="67" t="n">
        <f aca="false">IF(X$5="A",Inputs_Actuals!X140+Inputs_Actuals!X146,X9*Assumptions!$E$79+X10*Assumptions!$E$80+X11*Assumptions!$E$81+X12*Assumptions!$E$82+X13*Assumptions!$E$83+X14*Assumptions!$E$84)</f>
        <v>323.125714423861</v>
      </c>
      <c r="Y42" s="67" t="n">
        <f aca="false">IF(Y$5="A",Inputs_Actuals!Y140+Inputs_Actuals!Y146,Y9*Assumptions!$E$79+Y10*Assumptions!$E$80+Y11*Assumptions!$E$81+Y12*Assumptions!$E$82+Y13*Assumptions!$E$83+Y14*Assumptions!$E$84)</f>
        <v>313.677683541667</v>
      </c>
      <c r="Z42" s="67" t="n">
        <f aca="false">IF(Z$5="A",Inputs_Actuals!Z140+Inputs_Actuals!Z146,Z9*Assumptions!$E$79+Z10*Assumptions!$E$80+Z11*Assumptions!$E$81+Z12*Assumptions!$E$82+Z13*Assumptions!$E$83+Z14*Assumptions!$E$84)</f>
        <v>316.931949791667</v>
      </c>
      <c r="AA42" s="67" t="n">
        <f aca="false">IF(AA$5="A",Inputs_Actuals!AA140+Inputs_Actuals!AA146,AA9*Assumptions!$E$79+AA10*Assumptions!$E$80+AA11*Assumptions!$E$81+AA12*Assumptions!$E$82+AA13*Assumptions!$E$83+AA14*Assumptions!$E$84)</f>
        <v>316.931949791667</v>
      </c>
      <c r="AB42" s="67" t="n">
        <f aca="false">IF(AB$5="A",Inputs_Actuals!AB140+Inputs_Actuals!AB146,AB9*Assumptions!$E$79+AB10*Assumptions!$E$80+AB11*Assumptions!$E$81+AB12*Assumptions!$E$82+AB13*Assumptions!$E$83+AB14*Assumptions!$E$84)</f>
        <v>311.457949791667</v>
      </c>
    </row>
    <row r="43" customFormat="false" ht="15" hidden="false" customHeight="false" outlineLevel="0" collapsed="false">
      <c r="A43" s="28" t="s">
        <v>1040</v>
      </c>
      <c r="B43" s="58" t="s">
        <v>1041</v>
      </c>
      <c r="C43" s="66" t="n">
        <f aca="false">SUM(E43:P43)</f>
        <v>4010.11492638889</v>
      </c>
      <c r="D43" s="66" t="n">
        <f aca="false">SUM(Q43:AB43)</f>
        <v>3733.08716027778</v>
      </c>
      <c r="E43" s="67" t="n">
        <f aca="false">IF(E$5="A",Inputs_Actuals!E140,MIN(E42,E41*Assumptions!$C$32))</f>
        <v>317.6</v>
      </c>
      <c r="F43" s="67" t="n">
        <f aca="false">IF(F$5="A",Inputs_Actuals!F140,MIN(F42,F41*Assumptions!$C$32))</f>
        <v>305.6</v>
      </c>
      <c r="G43" s="67" t="n">
        <f aca="false">IF(G$5="A",Inputs_Actuals!G140,MIN(G42,G41*Assumptions!$C$32))</f>
        <v>310.4</v>
      </c>
      <c r="H43" s="67" t="n">
        <f aca="false">IF(H$5="A",Inputs_Actuals!H140,MIN(H42,H41*Assumptions!$C$32))</f>
        <v>308</v>
      </c>
      <c r="I43" s="67" t="n">
        <f aca="false">IF(I$5="A",Inputs_Actuals!I140,MIN(I42,I41*Assumptions!$C$32))</f>
        <v>320.1</v>
      </c>
      <c r="J43" s="67" t="n">
        <f aca="false">IF(J$5="A",Inputs_Actuals!J140,MIN(J42,J41*Assumptions!$C$32))</f>
        <v>385.2</v>
      </c>
      <c r="K43" s="67" t="n">
        <f aca="false">IF(K$5="A",Inputs_Actuals!K140,MIN(K42,K41*Assumptions!$C$32))</f>
        <v>390.8</v>
      </c>
      <c r="L43" s="67" t="n">
        <f aca="false">IF(L$5="A",Inputs_Actuals!L140,MIN(L42,L41*Assumptions!$C$32))</f>
        <v>396.2</v>
      </c>
      <c r="M43" s="67" t="n">
        <f aca="false">IF(M$5="A",Inputs_Actuals!M140,MIN(M42,M41*Assumptions!$C$32))</f>
        <v>378.253913299402</v>
      </c>
      <c r="N43" s="67" t="n">
        <f aca="false">IF(N$5="A",Inputs_Actuals!N140,MIN(N42,N41*Assumptions!$C$32))</f>
        <v>310.767666793191</v>
      </c>
      <c r="O43" s="67" t="n">
        <f aca="false">IF(O$5="A",Inputs_Actuals!O140,MIN(O42,O41*Assumptions!$C$32))</f>
        <v>299.099335185185</v>
      </c>
      <c r="P43" s="67" t="n">
        <f aca="false">IF(P$5="A",Inputs_Actuals!P140,MIN(P42,P41*Assumptions!$C$32))</f>
        <v>288.094011111111</v>
      </c>
      <c r="Q43" s="67" t="n">
        <f aca="false">IF(Q$5="A",Inputs_Actuals!Q140,MIN(Q42,Q41*Assumptions!$C$32))</f>
        <v>275.869601319444</v>
      </c>
      <c r="R43" s="67" t="n">
        <f aca="false">IF(R$5="A",Inputs_Actuals!R140,MIN(R42,R41*Assumptions!$C$32))</f>
        <v>288.665581275713</v>
      </c>
      <c r="S43" s="67" t="n">
        <f aca="false">IF(S$5="A",Inputs_Actuals!S140,MIN(S42,S41*Assumptions!$C$32))</f>
        <v>299.106299983466</v>
      </c>
      <c r="T43" s="67" t="n">
        <f aca="false">IF(T$5="A",Inputs_Actuals!T140,MIN(T42,T41*Assumptions!$C$32))</f>
        <v>315.170110124784</v>
      </c>
      <c r="U43" s="67" t="n">
        <f aca="false">IF(U$5="A",Inputs_Actuals!U140,MIN(U42,U41*Assumptions!$C$32))</f>
        <v>314.266441514483</v>
      </c>
      <c r="V43" s="67" t="n">
        <f aca="false">IF(V$5="A",Inputs_Actuals!V140,MIN(V42,V41*Assumptions!$C$32))</f>
        <v>328.595951791451</v>
      </c>
      <c r="W43" s="67" t="n">
        <f aca="false">IF(W$5="A",Inputs_Actuals!W140,MIN(W42,W41*Assumptions!$C$32))</f>
        <v>329.28792692791</v>
      </c>
      <c r="X43" s="67" t="n">
        <f aca="false">IF(X$5="A",Inputs_Actuals!X140,MIN(X42,X41*Assumptions!$C$32))</f>
        <v>323.125714423861</v>
      </c>
      <c r="Y43" s="67" t="n">
        <f aca="false">IF(Y$5="A",Inputs_Actuals!Y140,MIN(Y42,Y41*Assumptions!$C$32))</f>
        <v>313.677683541667</v>
      </c>
      <c r="Z43" s="67" t="n">
        <f aca="false">IF(Z$5="A",Inputs_Actuals!Z140,MIN(Z42,Z41*Assumptions!$C$32))</f>
        <v>316.931949791667</v>
      </c>
      <c r="AA43" s="67" t="n">
        <f aca="false">IF(AA$5="A",Inputs_Actuals!AA140,MIN(AA42,AA41*Assumptions!$C$32))</f>
        <v>316.931949791667</v>
      </c>
      <c r="AB43" s="67" t="n">
        <f aca="false">IF(AB$5="A",Inputs_Actuals!AB140,MIN(AB42,AB41*Assumptions!$C$32))</f>
        <v>311.457949791667</v>
      </c>
    </row>
    <row r="44" customFormat="false" ht="15" hidden="false" customHeight="false" outlineLevel="0" collapsed="false">
      <c r="A44" s="28" t="s">
        <v>1042</v>
      </c>
      <c r="B44" s="58" t="s">
        <v>1043</v>
      </c>
      <c r="C44" s="66" t="n">
        <f aca="false">SUM(E44:P44)</f>
        <v>0.275999999999783</v>
      </c>
      <c r="D44" s="66" t="n">
        <f aca="false">SUM(Q44:AB44)</f>
        <v>0</v>
      </c>
      <c r="E44" s="67" t="n">
        <f aca="false">IF(E$5="A",Inputs_Actuals!E146,E42-E43)</f>
        <v>0.00599999999991496</v>
      </c>
      <c r="F44" s="67" t="n">
        <f aca="false">IF(F$5="A",Inputs_Actuals!F146,F42-F43)</f>
        <v>0.0169999999999391</v>
      </c>
      <c r="G44" s="67" t="n">
        <f aca="false">IF(G$5="A",Inputs_Actuals!G146,G42-G43)</f>
        <v>0.0469999999999686</v>
      </c>
      <c r="H44" s="67" t="n">
        <f aca="false">IF(H$5="A",Inputs_Actuals!H146,H42-H43)</f>
        <v>0.0149999999999864</v>
      </c>
      <c r="I44" s="67" t="n">
        <f aca="false">IF(I$5="A",Inputs_Actuals!I146,I42-I43)</f>
        <v>0.0119999999999436</v>
      </c>
      <c r="J44" s="67" t="n">
        <f aca="false">IF(J$5="A",Inputs_Actuals!J146,J42-J43)</f>
        <v>0.0440000000000396</v>
      </c>
      <c r="K44" s="67" t="n">
        <f aca="false">IF(K$5="A",Inputs_Actuals!K146,K42-K43)</f>
        <v>0.0949999999999704</v>
      </c>
      <c r="L44" s="67" t="n">
        <f aca="false">IF(L$5="A",Inputs_Actuals!L146,L42-L43)</f>
        <v>0.0400000000000205</v>
      </c>
      <c r="M44" s="67" t="n">
        <f aca="false">IF(M$5="A",Inputs_Actuals!M146,M42-M43)</f>
        <v>0</v>
      </c>
      <c r="N44" s="67" t="n">
        <f aca="false">IF(N$5="A",Inputs_Actuals!N146,N42-N43)</f>
        <v>0</v>
      </c>
      <c r="O44" s="67" t="n">
        <f aca="false">IF(O$5="A",Inputs_Actuals!O146,O42-O43)</f>
        <v>0</v>
      </c>
      <c r="P44" s="67" t="n">
        <f aca="false">IF(P$5="A",Inputs_Actuals!P146,P42-P43)</f>
        <v>0</v>
      </c>
      <c r="Q44" s="67" t="n">
        <f aca="false">IF(Q$5="A",Inputs_Actuals!Q146,Q42-Q43)</f>
        <v>0</v>
      </c>
      <c r="R44" s="67" t="n">
        <f aca="false">IF(R$5="A",Inputs_Actuals!R146,R42-R43)</f>
        <v>0</v>
      </c>
      <c r="S44" s="67" t="n">
        <f aca="false">IF(S$5="A",Inputs_Actuals!S146,S42-S43)</f>
        <v>0</v>
      </c>
      <c r="T44" s="67" t="n">
        <f aca="false">IF(T$5="A",Inputs_Actuals!T146,T42-T43)</f>
        <v>0</v>
      </c>
      <c r="U44" s="67" t="n">
        <f aca="false">IF(U$5="A",Inputs_Actuals!U146,U42-U43)</f>
        <v>0</v>
      </c>
      <c r="V44" s="67" t="n">
        <f aca="false">IF(V$5="A",Inputs_Actuals!V146,V42-V43)</f>
        <v>0</v>
      </c>
      <c r="W44" s="67" t="n">
        <f aca="false">IF(W$5="A",Inputs_Actuals!W146,W42-W43)</f>
        <v>0</v>
      </c>
      <c r="X44" s="67" t="n">
        <f aca="false">IF(X$5="A",Inputs_Actuals!X146,X42-X43)</f>
        <v>0</v>
      </c>
      <c r="Y44" s="67" t="n">
        <f aca="false">IF(Y$5="A",Inputs_Actuals!Y146,Y42-Y43)</f>
        <v>0</v>
      </c>
      <c r="Z44" s="67" t="n">
        <f aca="false">IF(Z$5="A",Inputs_Actuals!Z146,Z42-Z43)</f>
        <v>0</v>
      </c>
      <c r="AA44" s="67" t="n">
        <f aca="false">IF(AA$5="A",Inputs_Actuals!AA146,AA42-AA43)</f>
        <v>0</v>
      </c>
      <c r="AB44" s="67" t="n">
        <f aca="false">IF(AB$5="A",Inputs_Actuals!AB146,AB42-AB43)</f>
        <v>0</v>
      </c>
    </row>
    <row r="45" customFormat="false" ht="15" hidden="false" customHeight="false" outlineLevel="0" collapsed="false">
      <c r="A45" s="28" t="s">
        <v>1044</v>
      </c>
      <c r="B45" s="58"/>
      <c r="C45" s="61" t="n">
        <f aca="false">IF(C41=0,0,C43/C41)</f>
        <v>0.530578847100938</v>
      </c>
      <c r="D45" s="61" t="n">
        <f aca="false">IF(D41=0,0,D43/D41)</f>
        <v>0.536980316495653</v>
      </c>
      <c r="E45" s="62" t="n">
        <f aca="false">IF(E41=0,0,E43/E41)</f>
        <v>0.417894736842105</v>
      </c>
      <c r="F45" s="62" t="n">
        <f aca="false">IF(F41=0,0,F43/F41)</f>
        <v>0.418630136986301</v>
      </c>
      <c r="G45" s="62" t="n">
        <f aca="false">IF(G41=0,0,G43/G41)</f>
        <v>0.392911392405063</v>
      </c>
      <c r="H45" s="62" t="n">
        <f aca="false">IF(H41=0,0,H43/H41)</f>
        <v>0.410666666666667</v>
      </c>
      <c r="I45" s="62" t="n">
        <f aca="false">IF(I41=0,0,I43/I41)</f>
        <v>0.5335</v>
      </c>
      <c r="J45" s="62" t="n">
        <f aca="false">IF(J41=0,0,J43/J41)</f>
        <v>0.697826086956522</v>
      </c>
      <c r="K45" s="62" t="n">
        <f aca="false">IF(K41=0,0,K43/K41)</f>
        <v>0.872321428571429</v>
      </c>
      <c r="L45" s="62" t="n">
        <f aca="false">IF(L41=0,0,L43/L41)</f>
        <v>0.728308823529412</v>
      </c>
      <c r="M45" s="62" t="n">
        <f aca="false">IF(M41=0,0,M43/M41)</f>
        <v>0.598503027372471</v>
      </c>
      <c r="N45" s="62" t="n">
        <f aca="false">IF(N41=0,0,N43/N41)</f>
        <v>0.473731199379864</v>
      </c>
      <c r="O45" s="62" t="n">
        <f aca="false">IF(O41=0,0,O43/O41)</f>
        <v>0.491939696028265</v>
      </c>
      <c r="P45" s="62" t="n">
        <f aca="false">IF(P41=0,0,P43/P41)</f>
        <v>0.59035658014572</v>
      </c>
      <c r="Q45" s="62" t="n">
        <f aca="false">IF(Q41=0,0,Q43/Q41)</f>
        <v>0.453732896906981</v>
      </c>
      <c r="R45" s="62" t="n">
        <f aca="false">IF(R41=0,0,R43/R41)</f>
        <v>0.494290378896768</v>
      </c>
      <c r="S45" s="62" t="n">
        <f aca="false">IF(S41=0,0,S43/S41)</f>
        <v>0.473269461999154</v>
      </c>
      <c r="T45" s="62" t="n">
        <f aca="false">IF(T41=0,0,T43/T41)</f>
        <v>0.52528351687464</v>
      </c>
      <c r="U45" s="62" t="n">
        <f aca="false">IF(U41=0,0,U43/U41)</f>
        <v>0.523777402524138</v>
      </c>
      <c r="V45" s="62" t="n">
        <f aca="false">IF(V41=0,0,V43/V41)</f>
        <v>0.595282521361324</v>
      </c>
      <c r="W45" s="62" t="n">
        <f aca="false">IF(W41=0,0,W43/W41)</f>
        <v>0.735017694035513</v>
      </c>
      <c r="X45" s="62" t="n">
        <f aca="false">IF(X41=0,0,X43/X41)</f>
        <v>0.593981092690921</v>
      </c>
      <c r="Y45" s="62" t="n">
        <f aca="false">IF(Y41=0,0,Y43/Y41)</f>
        <v>0.496325448641878</v>
      </c>
      <c r="Z45" s="62" t="n">
        <f aca="false">IF(Z41=0,0,Z43/Z41)</f>
        <v>0.483127972243394</v>
      </c>
      <c r="AA45" s="62" t="n">
        <f aca="false">IF(AA41=0,0,AA43/AA41)</f>
        <v>0.52126965426261</v>
      </c>
      <c r="AB45" s="62" t="n">
        <f aca="false">IF(AB41=0,0,AB43/AB41)</f>
        <v>0.638233503671448</v>
      </c>
    </row>
    <row r="46" customFormat="false" ht="15" hidden="false" customHeight="false" outlineLevel="0" collapsed="false">
      <c r="A46" s="28" t="s">
        <v>1045</v>
      </c>
      <c r="B46" s="58" t="s">
        <v>1046</v>
      </c>
      <c r="C46" s="59" t="n">
        <f aca="false">SUM(E46:P46)</f>
        <v>360935.183375</v>
      </c>
      <c r="D46" s="59" t="n">
        <f aca="false">SUM(Q46:AB46)</f>
        <v>349416.958202</v>
      </c>
      <c r="E46" s="60" t="n">
        <f aca="false">E42*Assumptions!$C$36*E72</f>
        <v>28584.54</v>
      </c>
      <c r="F46" s="60" t="n">
        <f aca="false">F42*Assumptions!$C$36*F72</f>
        <v>27505.53</v>
      </c>
      <c r="G46" s="60" t="n">
        <f aca="false">G42*Assumptions!$C$36*G72</f>
        <v>27940.23</v>
      </c>
      <c r="H46" s="60" t="n">
        <f aca="false">H42*Assumptions!$C$36*H72</f>
        <v>27721.35</v>
      </c>
      <c r="I46" s="60" t="n">
        <f aca="false">I42*Assumptions!$C$36*I72</f>
        <v>28810.08</v>
      </c>
      <c r="J46" s="60" t="n">
        <f aca="false">J42*Assumptions!$C$36*J72</f>
        <v>34671.96</v>
      </c>
      <c r="K46" s="60" t="n">
        <f aca="false">K42*Assumptions!$C$36*K72</f>
        <v>35180.55</v>
      </c>
      <c r="L46" s="60" t="n">
        <f aca="false">L42*Assumptions!$C$36*L72</f>
        <v>35661.6</v>
      </c>
      <c r="M46" s="60" t="n">
        <f aca="false">M42*Assumptions!$C$36*M72</f>
        <v>34042.8521969462</v>
      </c>
      <c r="N46" s="60" t="n">
        <f aca="false">N42*Assumptions!$C$36*N72</f>
        <v>27969.0900113872</v>
      </c>
      <c r="O46" s="60" t="n">
        <f aca="false">O42*Assumptions!$C$36*O72</f>
        <v>26918.9401666667</v>
      </c>
      <c r="P46" s="60" t="n">
        <f aca="false">P42*Assumptions!$C$36*P72</f>
        <v>25928.461</v>
      </c>
      <c r="Q46" s="60" t="n">
        <f aca="false">Q42*Assumptions!$C$36*Q72</f>
        <v>25821.3946835</v>
      </c>
      <c r="R46" s="60" t="n">
        <f aca="false">R42*Assumptions!$C$36*R72</f>
        <v>27019.0984074067</v>
      </c>
      <c r="S46" s="60" t="n">
        <f aca="false">S42*Assumptions!$C$36*S72</f>
        <v>27996.3496784524</v>
      </c>
      <c r="T46" s="60" t="n">
        <f aca="false">T42*Assumptions!$C$36*T72</f>
        <v>29499.9223076798</v>
      </c>
      <c r="U46" s="60" t="n">
        <f aca="false">U42*Assumptions!$C$36*U72</f>
        <v>29415.3389257556</v>
      </c>
      <c r="V46" s="60" t="n">
        <f aca="false">V42*Assumptions!$C$36*V72</f>
        <v>30756.5810876798</v>
      </c>
      <c r="W46" s="60" t="n">
        <f aca="false">W42*Assumptions!$C$36*W72</f>
        <v>30821.3499604524</v>
      </c>
      <c r="X46" s="60" t="n">
        <f aca="false">X42*Assumptions!$C$36*X72</f>
        <v>30244.5668700734</v>
      </c>
      <c r="Y46" s="60" t="n">
        <f aca="false">Y42*Assumptions!$C$36*Y72</f>
        <v>29360.2311795</v>
      </c>
      <c r="Z46" s="60" t="n">
        <f aca="false">Z42*Assumptions!$C$36*Z72</f>
        <v>29664.8305005</v>
      </c>
      <c r="AA46" s="60" t="n">
        <f aca="false">AA42*Assumptions!$C$36*AA72</f>
        <v>29664.8305005</v>
      </c>
      <c r="AB46" s="60" t="n">
        <f aca="false">AB42*Assumptions!$C$36*AB72</f>
        <v>29152.4641005</v>
      </c>
    </row>
    <row r="47" customFormat="false" ht="15" hidden="false" customHeight="false" outlineLevel="0" collapsed="false">
      <c r="A47" s="22" t="s">
        <v>1049</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customFormat="false" ht="15" hidden="false" customHeight="false" outlineLevel="0" collapsed="false">
      <c r="A48" s="28" t="s">
        <v>311</v>
      </c>
      <c r="B48" s="58" t="s">
        <v>1035</v>
      </c>
      <c r="C48" s="66" t="n">
        <f aca="false">P48</f>
        <v>9</v>
      </c>
      <c r="D48" s="66" t="n">
        <f aca="false">AB48</f>
        <v>9.45</v>
      </c>
      <c r="E48" s="67" t="n">
        <f aca="false">IF(E$5="A",Inputs_Actuals!E135,Inputs_Actuals!E135+E17+E19-E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7</v>
      </c>
      <c r="F48" s="67" t="n">
        <f aca="false">IF(F$5="A",Inputs_Actuals!F135,E48+F17+F19-F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7</v>
      </c>
      <c r="G48" s="67" t="n">
        <f aca="false">IF(G$5="A",Inputs_Actuals!G135,F48+G17+G19-G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7</v>
      </c>
      <c r="H48" s="67" t="n">
        <f aca="false">IF(H$5="A",Inputs_Actuals!H135,G48+H17+H19-H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8</v>
      </c>
      <c r="I48" s="67" t="n">
        <f aca="false">IF(I$5="A",Inputs_Actuals!I135,H48+I17+I19-I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8</v>
      </c>
      <c r="J48" s="67" t="n">
        <f aca="false">IF(J$5="A",Inputs_Actuals!J135,I48+J17+J19-J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8</v>
      </c>
      <c r="K48" s="67" t="n">
        <f aca="false">IF(K$5="A",Inputs_Actuals!K135,J48+K17+K19-K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8</v>
      </c>
      <c r="L48" s="67" t="n">
        <f aca="false">IF(L$5="A",Inputs_Actuals!L135,K48+L17+L19-L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8</v>
      </c>
      <c r="M48" s="67" t="n">
        <f aca="false">IF(M$5="A",Inputs_Actuals!M135,L48+M17+M19-M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8</v>
      </c>
      <c r="N48" s="67" t="n">
        <f aca="false">IF(N$5="A",Inputs_Actuals!N135,M48+N17+N19-N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v>
      </c>
      <c r="O48" s="67" t="n">
        <f aca="false">IF(O$5="A",Inputs_Actuals!O135,N48+O17+O19-O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v>
      </c>
      <c r="P48" s="67" t="n">
        <f aca="false">IF(P$5="A",Inputs_Actuals!P135,O48+P17+P19-P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v>
      </c>
      <c r="Q48" s="67" t="n">
        <f aca="false">IF(Q$5="A",Inputs_Actuals!Q135,P48+Q17+Q19-Q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R48" s="67" t="n">
        <f aca="false">IF(R$5="A",Inputs_Actuals!R135,Q48+R17+R19-R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S48" s="67" t="n">
        <f aca="false">IF(S$5="A",Inputs_Actuals!S135,R48+S17+S19-S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T48" s="67" t="n">
        <f aca="false">IF(T$5="A",Inputs_Actuals!T135,S48+T17+T19-T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U48" s="67" t="n">
        <f aca="false">IF(U$5="A",Inputs_Actuals!U135,T48+U17+U19-U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V48" s="67" t="n">
        <f aca="false">IF(V$5="A",Inputs_Actuals!V135,U48+V17+V19-V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W48" s="67" t="n">
        <f aca="false">IF(W$5="A",Inputs_Actuals!W135,V48+W17+W19-W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X48" s="67" t="n">
        <f aca="false">IF(X$5="A",Inputs_Actuals!X135,W48+X17+X19-X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Y48" s="67" t="n">
        <f aca="false">IF(Y$5="A",Inputs_Actuals!Y135,X48+Y17+Y19-Y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Z48" s="67" t="n">
        <f aca="false">IF(Z$5="A",Inputs_Actuals!Z135,Y48+Z17+Z19-Z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AA48" s="67" t="n">
        <f aca="false">IF(AA$5="A",Inputs_Actuals!AA135,Z48+AA17+AA19-AA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c r="AB48" s="67" t="n">
        <f aca="false">IF(AB$5="A",Inputs_Actuals!AB135,AA48+AB17+AB19-AB22*INDEX(Inputs_Actuals!$E$135:$AB$135,Assumptions!$C$10)/(INDEX(Inputs_Actuals!$E$132:$AB$132,Assumptions!$C$10)+INDEX(Inputs_Actuals!$E$133:$AB$133,Assumptions!$C$10)+INDEX(Inputs_Actuals!$E$134:$AB$134,Assumptions!$C$10)+INDEX(Inputs_Actuals!$E$135:$AB$135,Assumptions!$C$10)+INDEX(Inputs_Actuals!$E$136:$AB$136,Assumptions!$C$10)+INDEX(Inputs_Actuals!$E$137:$AB$137,Assumptions!$C$10)))</f>
        <v>9.45</v>
      </c>
    </row>
    <row r="49" customFormat="false" ht="15" hidden="false" customHeight="false" outlineLevel="0" collapsed="false">
      <c r="A49" s="28" t="s">
        <v>1036</v>
      </c>
      <c r="B49" s="58" t="s">
        <v>1037</v>
      </c>
      <c r="C49" s="66" t="n">
        <f aca="false">SUM(E49:P49)</f>
        <v>13886</v>
      </c>
      <c r="D49" s="66" t="n">
        <f aca="false">SUM(Q49:AB49)</f>
        <v>16424.1</v>
      </c>
      <c r="E49" s="67" t="n">
        <f aca="false">E48*Assumptions!E$107</f>
        <v>1064</v>
      </c>
      <c r="F49" s="67" t="n">
        <f aca="false">F48*Assumptions!F$107</f>
        <v>1022</v>
      </c>
      <c r="G49" s="67" t="n">
        <f aca="false">G48*Assumptions!G$107</f>
        <v>1106</v>
      </c>
      <c r="H49" s="67" t="n">
        <f aca="false">H48*Assumptions!H$107</f>
        <v>1200</v>
      </c>
      <c r="I49" s="67" t="n">
        <f aca="false">I48*Assumptions!I$107</f>
        <v>1200</v>
      </c>
      <c r="J49" s="67" t="n">
        <f aca="false">J48*Assumptions!J$107</f>
        <v>1104</v>
      </c>
      <c r="K49" s="67" t="n">
        <f aca="false">K48*Assumptions!K$107</f>
        <v>896</v>
      </c>
      <c r="L49" s="67" t="n">
        <f aca="false">L48*Assumptions!L$107</f>
        <v>1088</v>
      </c>
      <c r="M49" s="67" t="n">
        <f aca="false">M48*Assumptions!M$107</f>
        <v>1264</v>
      </c>
      <c r="N49" s="67" t="n">
        <f aca="false">N48*Assumptions!N$107</f>
        <v>1476</v>
      </c>
      <c r="O49" s="67" t="n">
        <f aca="false">O48*Assumptions!O$107</f>
        <v>1368</v>
      </c>
      <c r="P49" s="67" t="n">
        <f aca="false">P48*Assumptions!P$107</f>
        <v>1098</v>
      </c>
      <c r="Q49" s="67" t="n">
        <f aca="false">Q48*Assumptions!Q$107</f>
        <v>1436.4</v>
      </c>
      <c r="R49" s="67" t="n">
        <f aca="false">R48*Assumptions!R$107</f>
        <v>1379.7</v>
      </c>
      <c r="S49" s="67" t="n">
        <f aca="false">S48*Assumptions!S$107</f>
        <v>1493.1</v>
      </c>
      <c r="T49" s="67" t="n">
        <f aca="false">T48*Assumptions!T$107</f>
        <v>1417.5</v>
      </c>
      <c r="U49" s="67" t="n">
        <f aca="false">U48*Assumptions!U$107</f>
        <v>1417.5</v>
      </c>
      <c r="V49" s="67" t="n">
        <f aca="false">V48*Assumptions!V$107</f>
        <v>1304.1</v>
      </c>
      <c r="W49" s="67" t="n">
        <f aca="false">W48*Assumptions!W$107</f>
        <v>1058.4</v>
      </c>
      <c r="X49" s="67" t="n">
        <f aca="false">X48*Assumptions!X$107</f>
        <v>1285.2</v>
      </c>
      <c r="Y49" s="67" t="n">
        <f aca="false">Y48*Assumptions!Y$107</f>
        <v>1493.1</v>
      </c>
      <c r="Z49" s="67" t="n">
        <f aca="false">Z48*Assumptions!Z$107</f>
        <v>1549.8</v>
      </c>
      <c r="AA49" s="67" t="n">
        <f aca="false">AA48*Assumptions!AA$107</f>
        <v>1436.4</v>
      </c>
      <c r="AB49" s="67" t="n">
        <f aca="false">AB48*Assumptions!AB$107</f>
        <v>1152.9</v>
      </c>
    </row>
    <row r="50" customFormat="false" ht="15" hidden="false" customHeight="false" outlineLevel="0" collapsed="false">
      <c r="A50" s="28" t="s">
        <v>1038</v>
      </c>
      <c r="B50" s="58" t="s">
        <v>1039</v>
      </c>
      <c r="C50" s="66" t="n">
        <f aca="false">SUM(E50:P50)</f>
        <v>12135.874542688</v>
      </c>
      <c r="D50" s="66" t="n">
        <f aca="false">SUM(Q50:AB50)</f>
        <v>12683.7696420833</v>
      </c>
      <c r="E50" s="67" t="n">
        <f aca="false">IF(E$5="A",Inputs_Actuals!E141+Inputs_Actuals!E147,E9*Assumptions!$F$79+E10*Assumptions!$F$80+E11*Assumptions!$F$81+E12*Assumptions!$F$82+E13*Assumptions!$F$83+E14*Assumptions!$F$84)</f>
        <v>835.299</v>
      </c>
      <c r="F50" s="67" t="n">
        <f aca="false">IF(F$5="A",Inputs_Actuals!F141+Inputs_Actuals!F147,F9*Assumptions!$F$79+F10*Assumptions!$F$80+F11*Assumptions!$F$81+F12*Assumptions!$F$82+F13*Assumptions!$F$83+F14*Assumptions!$F$84)</f>
        <v>753.099</v>
      </c>
      <c r="G50" s="67" t="n">
        <f aca="false">IF(G$5="A",Inputs_Actuals!G141+Inputs_Actuals!G147,G9*Assumptions!$F$79+G10*Assumptions!$F$80+G11*Assumptions!$F$81+G12*Assumptions!$F$82+G13*Assumptions!$F$83+G14*Assumptions!$F$84)</f>
        <v>841.857</v>
      </c>
      <c r="H50" s="67" t="n">
        <f aca="false">IF(H$5="A",Inputs_Actuals!H141+Inputs_Actuals!H147,H9*Assumptions!$F$79+H10*Assumptions!$F$80+H11*Assumptions!$F$81+H12*Assumptions!$F$82+H13*Assumptions!$F$83+H14*Assumptions!$F$84)</f>
        <v>948.606</v>
      </c>
      <c r="I50" s="67" t="n">
        <f aca="false">IF(I$5="A",Inputs_Actuals!I141+Inputs_Actuals!I147,I9*Assumptions!$F$79+I10*Assumptions!$F$80+I11*Assumptions!$F$81+I12*Assumptions!$F$82+I13*Assumptions!$F$83+I14*Assumptions!$F$84)</f>
        <v>1039.671</v>
      </c>
      <c r="J50" s="67" t="n">
        <f aca="false">IF(J$5="A",Inputs_Actuals!J141+Inputs_Actuals!J147,J9*Assumptions!$F$79+J10*Assumptions!$F$80+J11*Assumptions!$F$81+J12*Assumptions!$F$82+J13*Assumptions!$F$83+J14*Assumptions!$F$84)</f>
        <v>1150.764</v>
      </c>
      <c r="K50" s="67" t="n">
        <f aca="false">IF(K$5="A",Inputs_Actuals!K141+Inputs_Actuals!K147,K9*Assumptions!$F$79+K10*Assumptions!$F$80+K11*Assumptions!$F$81+K12*Assumptions!$F$82+K13*Assumptions!$F$83+K14*Assumptions!$F$84)</f>
        <v>1132.608</v>
      </c>
      <c r="L50" s="67" t="n">
        <f aca="false">IF(L$5="A",Inputs_Actuals!L141+Inputs_Actuals!L147,L9*Assumptions!$F$79+L10*Assumptions!$F$80+L11*Assumptions!$F$81+L12*Assumptions!$F$82+L13*Assumptions!$F$83+L14*Assumptions!$F$84)</f>
        <v>1208.283</v>
      </c>
      <c r="M50" s="67" t="n">
        <f aca="false">IF(M$5="A",Inputs_Actuals!M141+Inputs_Actuals!M147,M9*Assumptions!$F$79+M10*Assumptions!$F$80+M11*Assumptions!$F$81+M12*Assumptions!$F$82+M13*Assumptions!$F$83+M14*Assumptions!$F$84)</f>
        <v>1194.01926966952</v>
      </c>
      <c r="N50" s="67" t="n">
        <f aca="false">IF(N$5="A",Inputs_Actuals!N141+Inputs_Actuals!N147,N9*Assumptions!$F$79+N10*Assumptions!$F$80+N11*Assumptions!$F$81+N12*Assumptions!$F$82+N13*Assumptions!$F$83+N14*Assumptions!$F$84)</f>
        <v>1143.25220547592</v>
      </c>
      <c r="O50" s="67" t="n">
        <f aca="false">IF(O$5="A",Inputs_Actuals!O141+Inputs_Actuals!O147,O9*Assumptions!$F$79+O10*Assumptions!$F$80+O11*Assumptions!$F$81+O12*Assumptions!$F$82+O13*Assumptions!$F$83+O14*Assumptions!$F$84)</f>
        <v>1020.87918659698</v>
      </c>
      <c r="P50" s="67" t="n">
        <f aca="false">IF(P$5="A",Inputs_Actuals!P141+Inputs_Actuals!P147,P9*Assumptions!$F$79+P10*Assumptions!$F$80+P11*Assumptions!$F$81+P12*Assumptions!$F$82+P13*Assumptions!$F$83+P14*Assumptions!$F$84)</f>
        <v>867.536880945531</v>
      </c>
      <c r="Q50" s="67" t="n">
        <f aca="false">IF(Q$5="A",Inputs_Actuals!Q141+Inputs_Actuals!Q147,Q9*Assumptions!$F$79+Q10*Assumptions!$F$80+Q11*Assumptions!$F$81+Q12*Assumptions!$F$82+Q13*Assumptions!$F$83+Q14*Assumptions!$F$84)</f>
        <v>958.34241749976</v>
      </c>
      <c r="R50" s="67" t="n">
        <f aca="false">IF(R$5="A",Inputs_Actuals!R141+Inputs_Actuals!R147,R9*Assumptions!$F$79+R10*Assumptions!$F$80+R11*Assumptions!$F$81+R12*Assumptions!$F$82+R13*Assumptions!$F$83+R14*Assumptions!$F$84)</f>
        <v>1053.64913244657</v>
      </c>
      <c r="S50" s="67" t="n">
        <f aca="false">IF(S$5="A",Inputs_Actuals!S141+Inputs_Actuals!S147,S9*Assumptions!$F$79+S10*Assumptions!$F$80+S11*Assumptions!$F$81+S12*Assumptions!$F$82+S13*Assumptions!$F$83+S14*Assumptions!$F$84)</f>
        <v>1145.69466196338</v>
      </c>
      <c r="T50" s="67" t="n">
        <f aca="false">IF(T$5="A",Inputs_Actuals!T141+Inputs_Actuals!T147,T9*Assumptions!$F$79+T10*Assumptions!$F$80+T11*Assumptions!$F$81+T12*Assumptions!$F$82+T13*Assumptions!$F$83+T14*Assumptions!$F$84)</f>
        <v>1168.92500781933</v>
      </c>
      <c r="U50" s="67" t="n">
        <f aca="false">IF(U$5="A",Inputs_Actuals!U141+Inputs_Actuals!U147,U9*Assumptions!$F$79+U10*Assumptions!$F$80+U11*Assumptions!$F$81+U12*Assumptions!$F$82+U13*Assumptions!$F$83+U14*Assumptions!$F$84)</f>
        <v>1161.3341914928</v>
      </c>
      <c r="V50" s="67" t="n">
        <f aca="false">IF(V$5="A",Inputs_Actuals!V141+Inputs_Actuals!V147,V9*Assumptions!$F$79+V10*Assumptions!$F$80+V11*Assumptions!$F$81+V12*Assumptions!$F$82+V13*Assumptions!$F$83+V14*Assumptions!$F$84)</f>
        <v>1086.00078944764</v>
      </c>
      <c r="W50" s="67" t="n">
        <f aca="false">IF(W$5="A",Inputs_Actuals!W141+Inputs_Actuals!W147,W9*Assumptions!$F$79+W10*Assumptions!$F$80+W11*Assumptions!$F$81+W12*Assumptions!$F$82+W13*Assumptions!$F$83+W14*Assumptions!$F$84)</f>
        <v>1040.83014320523</v>
      </c>
      <c r="X50" s="67" t="n">
        <f aca="false">IF(X$5="A",Inputs_Actuals!X141+Inputs_Actuals!X147,X9*Assumptions!$F$79+X10*Assumptions!$F$80+X11*Assumptions!$F$81+X12*Assumptions!$F$82+X13*Assumptions!$F$83+X14*Assumptions!$F$84)</f>
        <v>1037.7856249146</v>
      </c>
      <c r="Y50" s="67" t="n">
        <f aca="false">IF(Y$5="A",Inputs_Actuals!Y141+Inputs_Actuals!Y147,Y9*Assumptions!$F$79+Y10*Assumptions!$F$80+Y11*Assumptions!$F$81+Y12*Assumptions!$F$82+Y13*Assumptions!$F$83+Y14*Assumptions!$F$84)</f>
        <v>1003.08039335227</v>
      </c>
      <c r="Z50" s="67" t="n">
        <f aca="false">IF(Z$5="A",Inputs_Actuals!Z141+Inputs_Actuals!Z147,Z9*Assumptions!$F$79+Z10*Assumptions!$F$80+Z11*Assumptions!$F$81+Z12*Assumptions!$F$82+Z13*Assumptions!$F$83+Z14*Assumptions!$F$84)</f>
        <v>1061.24151003812</v>
      </c>
      <c r="AA50" s="67" t="n">
        <f aca="false">IF(AA$5="A",Inputs_Actuals!AA141+Inputs_Actuals!AA147,AA9*Assumptions!$F$79+AA10*Assumptions!$F$80+AA11*Assumptions!$F$81+AA12*Assumptions!$F$82+AA13*Assumptions!$F$83+AA14*Assumptions!$F$84)</f>
        <v>1036.88247666643</v>
      </c>
      <c r="AB50" s="67" t="n">
        <f aca="false">IF(AB$5="A",Inputs_Actuals!AB141+Inputs_Actuals!AB147,AB9*Assumptions!$F$79+AB10*Assumptions!$F$80+AB11*Assumptions!$F$81+AB12*Assumptions!$F$82+AB13*Assumptions!$F$83+AB14*Assumptions!$F$84)</f>
        <v>930.003293237198</v>
      </c>
    </row>
    <row r="51" customFormat="false" ht="15" hidden="false" customHeight="false" outlineLevel="0" collapsed="false">
      <c r="A51" s="28" t="s">
        <v>1040</v>
      </c>
      <c r="B51" s="58" t="s">
        <v>1041</v>
      </c>
      <c r="C51" s="66" t="n">
        <f aca="false">SUM(E51:P51)</f>
        <v>11267.0882730184</v>
      </c>
      <c r="D51" s="66" t="n">
        <f aca="false">SUM(Q51:AB51)</f>
        <v>12574.3314988781</v>
      </c>
      <c r="E51" s="67" t="n">
        <f aca="false">IF(E$5="A",Inputs_Actuals!E141,MIN(E50,E49*Assumptions!$C$32))</f>
        <v>835.2</v>
      </c>
      <c r="F51" s="67" t="n">
        <f aca="false">IF(F$5="A",Inputs_Actuals!F141,MIN(F50,F49*Assumptions!$C$32))</f>
        <v>753</v>
      </c>
      <c r="G51" s="67" t="n">
        <f aca="false">IF(G$5="A",Inputs_Actuals!G141,MIN(G50,G49*Assumptions!$C$32))</f>
        <v>841.8</v>
      </c>
      <c r="H51" s="67" t="n">
        <f aca="false">IF(H$5="A",Inputs_Actuals!H141,MIN(H50,H49*Assumptions!$C$32))</f>
        <v>948.6</v>
      </c>
      <c r="I51" s="67" t="n">
        <f aca="false">IF(I$5="A",Inputs_Actuals!I141,MIN(I50,I49*Assumptions!$C$32))</f>
        <v>1039.6</v>
      </c>
      <c r="J51" s="67" t="n">
        <f aca="false">IF(J$5="A",Inputs_Actuals!J141,MIN(J50,J49*Assumptions!$C$32))</f>
        <v>980.4</v>
      </c>
      <c r="K51" s="67" t="n">
        <f aca="false">IF(K$5="A",Inputs_Actuals!K141,MIN(K50,K49*Assumptions!$C$32))</f>
        <v>763.6</v>
      </c>
      <c r="L51" s="67" t="n">
        <f aca="false">IF(L$5="A",Inputs_Actuals!L141,MIN(L50,L49*Assumptions!$C$32))</f>
        <v>960.9</v>
      </c>
      <c r="M51" s="67" t="n">
        <f aca="false">IF(M$5="A",Inputs_Actuals!M141,MIN(M50,M49*Assumptions!$C$32))</f>
        <v>1112.32</v>
      </c>
      <c r="N51" s="67" t="n">
        <f aca="false">IF(N$5="A",Inputs_Actuals!N141,MIN(N50,N49*Assumptions!$C$32))</f>
        <v>1143.25220547592</v>
      </c>
      <c r="O51" s="67" t="n">
        <f aca="false">IF(O$5="A",Inputs_Actuals!O141,MIN(O50,O49*Assumptions!$C$32))</f>
        <v>1020.87918659698</v>
      </c>
      <c r="P51" s="67" t="n">
        <f aca="false">IF(P$5="A",Inputs_Actuals!P141,MIN(P50,P49*Assumptions!$C$32))</f>
        <v>867.536880945531</v>
      </c>
      <c r="Q51" s="67" t="n">
        <f aca="false">IF(Q$5="A",Inputs_Actuals!Q141,MIN(Q50,Q49*Assumptions!$C$32))</f>
        <v>958.34241749976</v>
      </c>
      <c r="R51" s="67" t="n">
        <f aca="false">IF(R$5="A",Inputs_Actuals!R141,MIN(R50,R49*Assumptions!$C$32))</f>
        <v>1053.64913244657</v>
      </c>
      <c r="S51" s="67" t="n">
        <f aca="false">IF(S$5="A",Inputs_Actuals!S141,MIN(S50,S49*Assumptions!$C$32))</f>
        <v>1145.69466196338</v>
      </c>
      <c r="T51" s="67" t="n">
        <f aca="false">IF(T$5="A",Inputs_Actuals!T141,MIN(T50,T49*Assumptions!$C$32))</f>
        <v>1168.92500781933</v>
      </c>
      <c r="U51" s="67" t="n">
        <f aca="false">IF(U$5="A",Inputs_Actuals!U141,MIN(U50,U49*Assumptions!$C$32))</f>
        <v>1161.3341914928</v>
      </c>
      <c r="V51" s="67" t="n">
        <f aca="false">IF(V$5="A",Inputs_Actuals!V141,MIN(V50,V49*Assumptions!$C$32))</f>
        <v>1086.00078944764</v>
      </c>
      <c r="W51" s="67" t="n">
        <f aca="false">IF(W$5="A",Inputs_Actuals!W141,MIN(W50,W49*Assumptions!$C$32))</f>
        <v>931.392</v>
      </c>
      <c r="X51" s="67" t="n">
        <f aca="false">IF(X$5="A",Inputs_Actuals!X141,MIN(X50,X49*Assumptions!$C$32))</f>
        <v>1037.7856249146</v>
      </c>
      <c r="Y51" s="67" t="n">
        <f aca="false">IF(Y$5="A",Inputs_Actuals!Y141,MIN(Y50,Y49*Assumptions!$C$32))</f>
        <v>1003.08039335227</v>
      </c>
      <c r="Z51" s="67" t="n">
        <f aca="false">IF(Z$5="A",Inputs_Actuals!Z141,MIN(Z50,Z49*Assumptions!$C$32))</f>
        <v>1061.24151003812</v>
      </c>
      <c r="AA51" s="67" t="n">
        <f aca="false">IF(AA$5="A",Inputs_Actuals!AA141,MIN(AA50,AA49*Assumptions!$C$32))</f>
        <v>1036.88247666643</v>
      </c>
      <c r="AB51" s="67" t="n">
        <f aca="false">IF(AB$5="A",Inputs_Actuals!AB141,MIN(AB50,AB49*Assumptions!$C$32))</f>
        <v>930.003293237198</v>
      </c>
    </row>
    <row r="52" customFormat="false" ht="15" hidden="false" customHeight="false" outlineLevel="0" collapsed="false">
      <c r="A52" s="28" t="s">
        <v>1042</v>
      </c>
      <c r="B52" s="58" t="s">
        <v>1043</v>
      </c>
      <c r="C52" s="66" t="n">
        <f aca="false">SUM(E52:P52)</f>
        <v>868.786269669522</v>
      </c>
      <c r="D52" s="66" t="n">
        <f aca="false">SUM(Q52:AB52)</f>
        <v>109.438143205233</v>
      </c>
      <c r="E52" s="67" t="n">
        <f aca="false">IF(E$5="A",Inputs_Actuals!E147,E50-E51)</f>
        <v>0.0989999999999327</v>
      </c>
      <c r="F52" s="67" t="n">
        <f aca="false">IF(F$5="A",Inputs_Actuals!F147,F50-F51)</f>
        <v>0.0989999999999327</v>
      </c>
      <c r="G52" s="67" t="n">
        <f aca="false">IF(G$5="A",Inputs_Actuals!G147,G50-G51)</f>
        <v>0.0570000000000164</v>
      </c>
      <c r="H52" s="67" t="n">
        <f aca="false">IF(H$5="A",Inputs_Actuals!H147,H50-H51)</f>
        <v>0.00599999999997181</v>
      </c>
      <c r="I52" s="67" t="n">
        <f aca="false">IF(I$5="A",Inputs_Actuals!I147,I50-I51)</f>
        <v>0.0710000000001401</v>
      </c>
      <c r="J52" s="67" t="n">
        <f aca="false">IF(J$5="A",Inputs_Actuals!J147,J50-J51)</f>
        <v>170.364</v>
      </c>
      <c r="K52" s="67" t="n">
        <f aca="false">IF(K$5="A",Inputs_Actuals!K147,K50-K51)</f>
        <v>369.008</v>
      </c>
      <c r="L52" s="67" t="n">
        <f aca="false">IF(L$5="A",Inputs_Actuals!L147,L50-L51)</f>
        <v>247.383</v>
      </c>
      <c r="M52" s="67" t="n">
        <f aca="false">IF(M$5="A",Inputs_Actuals!M147,M50-M51)</f>
        <v>81.6992696695218</v>
      </c>
      <c r="N52" s="67" t="n">
        <f aca="false">IF(N$5="A",Inputs_Actuals!N147,N50-N51)</f>
        <v>0</v>
      </c>
      <c r="O52" s="67" t="n">
        <f aca="false">IF(O$5="A",Inputs_Actuals!O147,O50-O51)</f>
        <v>0</v>
      </c>
      <c r="P52" s="67" t="n">
        <f aca="false">IF(P$5="A",Inputs_Actuals!P147,P50-P51)</f>
        <v>0</v>
      </c>
      <c r="Q52" s="67" t="n">
        <f aca="false">IF(Q$5="A",Inputs_Actuals!Q147,Q50-Q51)</f>
        <v>0</v>
      </c>
      <c r="R52" s="67" t="n">
        <f aca="false">IF(R$5="A",Inputs_Actuals!R147,R50-R51)</f>
        <v>0</v>
      </c>
      <c r="S52" s="67" t="n">
        <f aca="false">IF(S$5="A",Inputs_Actuals!S147,S50-S51)</f>
        <v>0</v>
      </c>
      <c r="T52" s="67" t="n">
        <f aca="false">IF(T$5="A",Inputs_Actuals!T147,T50-T51)</f>
        <v>0</v>
      </c>
      <c r="U52" s="67" t="n">
        <f aca="false">IF(U$5="A",Inputs_Actuals!U147,U50-U51)</f>
        <v>0</v>
      </c>
      <c r="V52" s="67" t="n">
        <f aca="false">IF(V$5="A",Inputs_Actuals!V147,V50-V51)</f>
        <v>0</v>
      </c>
      <c r="W52" s="67" t="n">
        <f aca="false">IF(W$5="A",Inputs_Actuals!W147,W50-W51)</f>
        <v>109.438143205233</v>
      </c>
      <c r="X52" s="67" t="n">
        <f aca="false">IF(X$5="A",Inputs_Actuals!X147,X50-X51)</f>
        <v>0</v>
      </c>
      <c r="Y52" s="67" t="n">
        <f aca="false">IF(Y$5="A",Inputs_Actuals!Y147,Y50-Y51)</f>
        <v>0</v>
      </c>
      <c r="Z52" s="67" t="n">
        <f aca="false">IF(Z$5="A",Inputs_Actuals!Z147,Z50-Z51)</f>
        <v>0</v>
      </c>
      <c r="AA52" s="67" t="n">
        <f aca="false">IF(AA$5="A",Inputs_Actuals!AA147,AA50-AA51)</f>
        <v>0</v>
      </c>
      <c r="AB52" s="67" t="n">
        <f aca="false">IF(AB$5="A",Inputs_Actuals!AB147,AB50-AB51)</f>
        <v>0</v>
      </c>
    </row>
    <row r="53" customFormat="false" ht="15" hidden="false" customHeight="false" outlineLevel="0" collapsed="false">
      <c r="A53" s="28" t="s">
        <v>1044</v>
      </c>
      <c r="B53" s="58"/>
      <c r="C53" s="61" t="n">
        <f aca="false">IF(C49=0,0,C51/C49)</f>
        <v>0.811399126675676</v>
      </c>
      <c r="D53" s="61" t="n">
        <f aca="false">IF(D49=0,0,D51/D49)</f>
        <v>0.765602468255679</v>
      </c>
      <c r="E53" s="62" t="n">
        <f aca="false">IF(E49=0,0,E51/E49)</f>
        <v>0.784962406015038</v>
      </c>
      <c r="F53" s="62" t="n">
        <f aca="false">IF(F49=0,0,F51/F49)</f>
        <v>0.73679060665362</v>
      </c>
      <c r="G53" s="62" t="n">
        <f aca="false">IF(G49=0,0,G51/G49)</f>
        <v>0.761121157323689</v>
      </c>
      <c r="H53" s="62" t="n">
        <f aca="false">IF(H49=0,0,H51/H49)</f>
        <v>0.7905</v>
      </c>
      <c r="I53" s="62" t="n">
        <f aca="false">IF(I49=0,0,I51/I49)</f>
        <v>0.866333333333333</v>
      </c>
      <c r="J53" s="62" t="n">
        <f aca="false">IF(J49=0,0,J51/J49)</f>
        <v>0.88804347826087</v>
      </c>
      <c r="K53" s="62" t="n">
        <f aca="false">IF(K49=0,0,K51/K49)</f>
        <v>0.852232142857143</v>
      </c>
      <c r="L53" s="62" t="n">
        <f aca="false">IF(L49=0,0,L51/L49)</f>
        <v>0.883180147058824</v>
      </c>
      <c r="M53" s="62" t="n">
        <f aca="false">IF(M49=0,0,M51/M49)</f>
        <v>0.88</v>
      </c>
      <c r="N53" s="62" t="n">
        <f aca="false">IF(N49=0,0,N51/N49)</f>
        <v>0.774561114821084</v>
      </c>
      <c r="O53" s="62" t="n">
        <f aca="false">IF(O49=0,0,O51/O49)</f>
        <v>0.746256715348671</v>
      </c>
      <c r="P53" s="62" t="n">
        <f aca="false">IF(P49=0,0,P51/P49)</f>
        <v>0.790106448948571</v>
      </c>
      <c r="Q53" s="62" t="n">
        <f aca="false">IF(Q49=0,0,Q51/Q49)</f>
        <v>0.667183526524478</v>
      </c>
      <c r="R53" s="62" t="n">
        <f aca="false">IF(R49=0,0,R51/R49)</f>
        <v>0.76367988145725</v>
      </c>
      <c r="S53" s="62" t="n">
        <f aca="false">IF(S49=0,0,S51/S49)</f>
        <v>0.767326141560099</v>
      </c>
      <c r="T53" s="62" t="n">
        <f aca="false">IF(T49=0,0,T51/T49)</f>
        <v>0.824638453488064</v>
      </c>
      <c r="U53" s="62" t="n">
        <f aca="false">IF(U49=0,0,U51/U49)</f>
        <v>0.819283380241834</v>
      </c>
      <c r="V53" s="62" t="n">
        <f aca="false">IF(V49=0,0,V51/V49)</f>
        <v>0.83275882942078</v>
      </c>
      <c r="W53" s="62" t="n">
        <f aca="false">IF(W49=0,0,W51/W49)</f>
        <v>0.88</v>
      </c>
      <c r="X53" s="62" t="n">
        <f aca="false">IF(X49=0,0,X51/X49)</f>
        <v>0.807489592992999</v>
      </c>
      <c r="Y53" s="62" t="n">
        <f aca="false">IF(Y49=0,0,Y51/Y49)</f>
        <v>0.671810590953233</v>
      </c>
      <c r="Z53" s="62" t="n">
        <f aca="false">IF(Z49=0,0,Z51/Z49)</f>
        <v>0.684760298127577</v>
      </c>
      <c r="AA53" s="62" t="n">
        <f aca="false">IF(AA49=0,0,AA51/AA49)</f>
        <v>0.721861930288518</v>
      </c>
      <c r="AB53" s="62" t="n">
        <f aca="false">IF(AB49=0,0,AB51/AB49)</f>
        <v>0.806664318880387</v>
      </c>
    </row>
    <row r="54" customFormat="false" ht="15" hidden="false" customHeight="false" outlineLevel="0" collapsed="false">
      <c r="A54" s="28" t="s">
        <v>1045</v>
      </c>
      <c r="B54" s="58" t="s">
        <v>1046</v>
      </c>
      <c r="C54" s="59" t="n">
        <f aca="false">SUM(E54:P54)</f>
        <v>1395625.57240912</v>
      </c>
      <c r="D54" s="59" t="n">
        <f aca="false">SUM(Q54:AB54)</f>
        <v>1516978.84919317</v>
      </c>
      <c r="E54" s="60" t="n">
        <f aca="false">E50*Assumptions!$C$37*E72</f>
        <v>96059.385</v>
      </c>
      <c r="F54" s="60" t="n">
        <f aca="false">F50*Assumptions!$C$37*F72</f>
        <v>86606.385</v>
      </c>
      <c r="G54" s="60" t="n">
        <f aca="false">G50*Assumptions!$C$37*G72</f>
        <v>96813.555</v>
      </c>
      <c r="H54" s="60" t="n">
        <f aca="false">H50*Assumptions!$C$37*H72</f>
        <v>109089.69</v>
      </c>
      <c r="I54" s="60" t="n">
        <f aca="false">I50*Assumptions!$C$37*I72</f>
        <v>119562.165</v>
      </c>
      <c r="J54" s="60" t="n">
        <f aca="false">J50*Assumptions!$C$37*J72</f>
        <v>132337.86</v>
      </c>
      <c r="K54" s="60" t="n">
        <f aca="false">K50*Assumptions!$C$37*K72</f>
        <v>130249.92</v>
      </c>
      <c r="L54" s="60" t="n">
        <f aca="false">L50*Assumptions!$C$37*L72</f>
        <v>138952.545</v>
      </c>
      <c r="M54" s="60" t="n">
        <f aca="false">M50*Assumptions!$C$37*M72</f>
        <v>137312.216011995</v>
      </c>
      <c r="N54" s="60" t="n">
        <f aca="false">N50*Assumptions!$C$37*N72</f>
        <v>131474.003629731</v>
      </c>
      <c r="O54" s="60" t="n">
        <f aca="false">O50*Assumptions!$C$37*O72</f>
        <v>117401.106458653</v>
      </c>
      <c r="P54" s="60" t="n">
        <f aca="false">P50*Assumptions!$C$37*P72</f>
        <v>99766.7413087361</v>
      </c>
      <c r="Q54" s="60" t="n">
        <f aca="false">Q50*Assumptions!$C$37*Q72</f>
        <v>114617.753132971</v>
      </c>
      <c r="R54" s="60" t="n">
        <f aca="false">R50*Assumptions!$C$37*R72</f>
        <v>126016.436240609</v>
      </c>
      <c r="S54" s="60" t="n">
        <f aca="false">S50*Assumptions!$C$37*S72</f>
        <v>137025.081570821</v>
      </c>
      <c r="T54" s="60" t="n">
        <f aca="false">T50*Assumptions!$C$37*T72</f>
        <v>139803.430935192</v>
      </c>
      <c r="U54" s="60" t="n">
        <f aca="false">U50*Assumptions!$C$37*U72</f>
        <v>138895.569302539</v>
      </c>
      <c r="V54" s="60" t="n">
        <f aca="false">V50*Assumptions!$C$37*V72</f>
        <v>129885.694417938</v>
      </c>
      <c r="W54" s="60" t="n">
        <f aca="false">W50*Assumptions!$C$37*W72</f>
        <v>124483.285127346</v>
      </c>
      <c r="X54" s="60" t="n">
        <f aca="false">X50*Assumptions!$C$37*X72</f>
        <v>124119.160739786</v>
      </c>
      <c r="Y54" s="60" t="n">
        <f aca="false">Y50*Assumptions!$C$37*Y72</f>
        <v>119968.415044932</v>
      </c>
      <c r="Z54" s="60" t="n">
        <f aca="false">Z50*Assumptions!$C$37*Z72</f>
        <v>126924.484600559</v>
      </c>
      <c r="AA54" s="60" t="n">
        <f aca="false">AA50*Assumptions!$C$37*AA72</f>
        <v>124011.144209305</v>
      </c>
      <c r="AB54" s="60" t="n">
        <f aca="false">AB50*Assumptions!$C$37*AB72</f>
        <v>111228.393871169</v>
      </c>
    </row>
    <row r="55" customFormat="false" ht="15" hidden="false" customHeight="false" outlineLevel="0" collapsed="false">
      <c r="A55" s="22" t="s">
        <v>1050</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row>
    <row r="56" customFormat="false" ht="15" hidden="false" customHeight="false" outlineLevel="0" collapsed="false">
      <c r="A56" s="28" t="s">
        <v>311</v>
      </c>
      <c r="B56" s="58" t="s">
        <v>1035</v>
      </c>
      <c r="C56" s="66" t="n">
        <f aca="false">P56</f>
        <v>5</v>
      </c>
      <c r="D56" s="66" t="n">
        <f aca="false">AB56</f>
        <v>5</v>
      </c>
      <c r="E56" s="67" t="n">
        <f aca="false">IF(E$5="A",Inputs_Actuals!E136,Inputs_Actuals!E136+E18-E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F56" s="67" t="n">
        <f aca="false">IF(F$5="A",Inputs_Actuals!F136,E56+F18-F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G56" s="67" t="n">
        <f aca="false">IF(G$5="A",Inputs_Actuals!G136,F56+G18-G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H56" s="67" t="n">
        <f aca="false">IF(H$5="A",Inputs_Actuals!H136,G56+H18-H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I56" s="67" t="n">
        <f aca="false">IF(I$5="A",Inputs_Actuals!I136,H56+I18-I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J56" s="67" t="n">
        <f aca="false">IF(J$5="A",Inputs_Actuals!J136,I56+J18-J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K56" s="67" t="n">
        <f aca="false">IF(K$5="A",Inputs_Actuals!K136,J56+K18-K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L56" s="67" t="n">
        <f aca="false">IF(L$5="A",Inputs_Actuals!L136,K56+L18-L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M56" s="67" t="n">
        <f aca="false">IF(M$5="A",Inputs_Actuals!M136,L56+M18-M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N56" s="67" t="n">
        <f aca="false">IF(N$5="A",Inputs_Actuals!N136,M56+N18-N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4</v>
      </c>
      <c r="O56" s="67" t="n">
        <f aca="false">IF(O$5="A",Inputs_Actuals!O136,N56+O18-O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P56" s="67" t="n">
        <f aca="false">IF(P$5="A",Inputs_Actuals!P136,O56+P18-P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Q56" s="67" t="n">
        <f aca="false">IF(Q$5="A",Inputs_Actuals!Q136,P56+Q18-Q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R56" s="67" t="n">
        <f aca="false">IF(R$5="A",Inputs_Actuals!R136,Q56+R18-R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S56" s="67" t="n">
        <f aca="false">IF(S$5="A",Inputs_Actuals!S136,R56+S18-S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T56" s="67" t="n">
        <f aca="false">IF(T$5="A",Inputs_Actuals!T136,S56+T18-T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U56" s="67" t="n">
        <f aca="false">IF(U$5="A",Inputs_Actuals!U136,T56+U18-U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V56" s="67" t="n">
        <f aca="false">IF(V$5="A",Inputs_Actuals!V136,U56+V18-V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W56" s="67" t="n">
        <f aca="false">IF(W$5="A",Inputs_Actuals!W136,V56+W18-W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X56" s="67" t="n">
        <f aca="false">IF(X$5="A",Inputs_Actuals!X136,W56+X18-X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Y56" s="67" t="n">
        <f aca="false">IF(Y$5="A",Inputs_Actuals!Y136,X56+Y18-Y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Z56" s="67" t="n">
        <f aca="false">IF(Z$5="A",Inputs_Actuals!Z136,Y56+Z18-Z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AA56" s="67" t="n">
        <f aca="false">IF(AA$5="A",Inputs_Actuals!AA136,Z56+AA18-AA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c r="AB56" s="67" t="n">
        <f aca="false">IF(AB$5="A",Inputs_Actuals!AB136,AA56+AB18-AB22*INDEX(Inputs_Actuals!$E$136:$AB$136,Assumptions!$C$10)/(INDEX(Inputs_Actuals!$E$132:$AB$132,Assumptions!$C$10)+INDEX(Inputs_Actuals!$E$133:$AB$133,Assumptions!$C$10)+INDEX(Inputs_Actuals!$E$134:$AB$134,Assumptions!$C$10)+INDEX(Inputs_Actuals!$E$135:$AB$135,Assumptions!$C$10)+INDEX(Inputs_Actuals!$E$136:$AB$136,Assumptions!$C$10)+INDEX(Inputs_Actuals!$E$137:$AB$137,Assumptions!$C$10)))</f>
        <v>5</v>
      </c>
    </row>
    <row r="57" customFormat="false" ht="15" hidden="false" customHeight="false" outlineLevel="0" collapsed="false">
      <c r="A57" s="28" t="s">
        <v>1036</v>
      </c>
      <c r="B57" s="58" t="s">
        <v>1037</v>
      </c>
      <c r="C57" s="66" t="n">
        <f aca="false">SUM(E57:P57)</f>
        <v>7226</v>
      </c>
      <c r="D57" s="66" t="n">
        <f aca="false">SUM(Q57:AB57)</f>
        <v>8690</v>
      </c>
      <c r="E57" s="67" t="n">
        <f aca="false">E56*Assumptions!E$107</f>
        <v>608</v>
      </c>
      <c r="F57" s="67" t="n">
        <f aca="false">F56*Assumptions!F$107</f>
        <v>584</v>
      </c>
      <c r="G57" s="67" t="n">
        <f aca="false">G56*Assumptions!G$107</f>
        <v>632</v>
      </c>
      <c r="H57" s="67" t="n">
        <f aca="false">H56*Assumptions!H$107</f>
        <v>600</v>
      </c>
      <c r="I57" s="67" t="n">
        <f aca="false">I56*Assumptions!I$107</f>
        <v>600</v>
      </c>
      <c r="J57" s="67" t="n">
        <f aca="false">J56*Assumptions!J$107</f>
        <v>552</v>
      </c>
      <c r="K57" s="67" t="n">
        <f aca="false">K56*Assumptions!K$107</f>
        <v>448</v>
      </c>
      <c r="L57" s="67" t="n">
        <f aca="false">L56*Assumptions!L$107</f>
        <v>544</v>
      </c>
      <c r="M57" s="67" t="n">
        <f aca="false">M56*Assumptions!M$107</f>
        <v>632</v>
      </c>
      <c r="N57" s="67" t="n">
        <f aca="false">N56*Assumptions!N$107</f>
        <v>656</v>
      </c>
      <c r="O57" s="67" t="n">
        <f aca="false">O56*Assumptions!O$107</f>
        <v>760</v>
      </c>
      <c r="P57" s="67" t="n">
        <f aca="false">P56*Assumptions!P$107</f>
        <v>610</v>
      </c>
      <c r="Q57" s="67" t="n">
        <f aca="false">Q56*Assumptions!Q$107</f>
        <v>760</v>
      </c>
      <c r="R57" s="67" t="n">
        <f aca="false">R56*Assumptions!R$107</f>
        <v>730</v>
      </c>
      <c r="S57" s="67" t="n">
        <f aca="false">S56*Assumptions!S$107</f>
        <v>790</v>
      </c>
      <c r="T57" s="67" t="n">
        <f aca="false">T56*Assumptions!T$107</f>
        <v>750</v>
      </c>
      <c r="U57" s="67" t="n">
        <f aca="false">U56*Assumptions!U$107</f>
        <v>750</v>
      </c>
      <c r="V57" s="67" t="n">
        <f aca="false">V56*Assumptions!V$107</f>
        <v>690</v>
      </c>
      <c r="W57" s="67" t="n">
        <f aca="false">W56*Assumptions!W$107</f>
        <v>560</v>
      </c>
      <c r="X57" s="67" t="n">
        <f aca="false">X56*Assumptions!X$107</f>
        <v>680</v>
      </c>
      <c r="Y57" s="67" t="n">
        <f aca="false">Y56*Assumptions!Y$107</f>
        <v>790</v>
      </c>
      <c r="Z57" s="67" t="n">
        <f aca="false">Z56*Assumptions!Z$107</f>
        <v>820</v>
      </c>
      <c r="AA57" s="67" t="n">
        <f aca="false">AA56*Assumptions!AA$107</f>
        <v>760</v>
      </c>
      <c r="AB57" s="67" t="n">
        <f aca="false">AB56*Assumptions!AB$107</f>
        <v>610</v>
      </c>
    </row>
    <row r="58" customFormat="false" ht="15" hidden="false" customHeight="false" outlineLevel="0" collapsed="false">
      <c r="A58" s="28" t="s">
        <v>1038</v>
      </c>
      <c r="B58" s="58" t="s">
        <v>1039</v>
      </c>
      <c r="C58" s="66" t="n">
        <f aca="false">SUM(E58:P58)</f>
        <v>5996.45214166667</v>
      </c>
      <c r="D58" s="66" t="n">
        <f aca="false">SUM(Q58:AB58)</f>
        <v>5947.71125125</v>
      </c>
      <c r="E58" s="67" t="n">
        <f aca="false">IF(E$5="A",Inputs_Actuals!E142+Inputs_Actuals!E148,E9*Assumptions!$G$79+E10*Assumptions!$G$80+E11*Assumptions!$G$81+E12*Assumptions!$G$82+E13*Assumptions!$G$83+E14*Assumptions!$G$84)</f>
        <v>504.617</v>
      </c>
      <c r="F58" s="67" t="n">
        <f aca="false">IF(F$5="A",Inputs_Actuals!F142+Inputs_Actuals!F148,F9*Assumptions!$G$79+F10*Assumptions!$G$80+F11*Assumptions!$G$81+F12*Assumptions!$G$82+F13*Assumptions!$G$83+F14*Assumptions!$G$84)</f>
        <v>494.9</v>
      </c>
      <c r="G58" s="67" t="n">
        <f aca="false">IF(G$5="A",Inputs_Actuals!G142+Inputs_Actuals!G148,G9*Assumptions!$G$79+G10*Assumptions!$G$80+G11*Assumptions!$G$81+G12*Assumptions!$G$82+G13*Assumptions!$G$83+G14*Assumptions!$G$84)</f>
        <v>501.307</v>
      </c>
      <c r="H58" s="67" t="n">
        <f aca="false">IF(H$5="A",Inputs_Actuals!H142+Inputs_Actuals!H148,H9*Assumptions!$G$79+H10*Assumptions!$G$80+H11*Assumptions!$G$81+H12*Assumptions!$G$82+H13*Assumptions!$G$83+H14*Assumptions!$G$84)</f>
        <v>498.135</v>
      </c>
      <c r="I58" s="67" t="n">
        <f aca="false">IF(I$5="A",Inputs_Actuals!I142+Inputs_Actuals!I148,I9*Assumptions!$G$79+I10*Assumptions!$G$80+I11*Assumptions!$G$81+I12*Assumptions!$G$82+I13*Assumptions!$G$83+I14*Assumptions!$G$84)</f>
        <v>505.429</v>
      </c>
      <c r="J58" s="67" t="n">
        <f aca="false">IF(J$5="A",Inputs_Actuals!J142+Inputs_Actuals!J148,J9*Assumptions!$G$79+J10*Assumptions!$G$80+J11*Assumptions!$G$81+J12*Assumptions!$G$82+J13*Assumptions!$G$83+J14*Assumptions!$G$84)</f>
        <v>498.839</v>
      </c>
      <c r="K58" s="67" t="n">
        <f aca="false">IF(K$5="A",Inputs_Actuals!K142+Inputs_Actuals!K148,K9*Assumptions!$G$79+K10*Assumptions!$G$80+K11*Assumptions!$G$81+K12*Assumptions!$G$82+K13*Assumptions!$G$83+K14*Assumptions!$G$84)</f>
        <v>507.201</v>
      </c>
      <c r="L58" s="67" t="n">
        <f aca="false">IF(L$5="A",Inputs_Actuals!L142+Inputs_Actuals!L148,L9*Assumptions!$G$79+L10*Assumptions!$G$80+L11*Assumptions!$G$81+L12*Assumptions!$G$82+L13*Assumptions!$G$83+L14*Assumptions!$G$84)</f>
        <v>504.394</v>
      </c>
      <c r="M58" s="67" t="n">
        <f aca="false">IF(M$5="A",Inputs_Actuals!M142+Inputs_Actuals!M148,M9*Assumptions!$G$79+M10*Assumptions!$G$80+M11*Assumptions!$G$81+M12*Assumptions!$G$82+M13*Assumptions!$G$83+M14*Assumptions!$G$84)</f>
        <v>497.802716666667</v>
      </c>
      <c r="N58" s="67" t="n">
        <f aca="false">IF(N$5="A",Inputs_Actuals!N142+Inputs_Actuals!N148,N9*Assumptions!$G$79+N10*Assumptions!$G$80+N11*Assumptions!$G$81+N12*Assumptions!$G$82+N13*Assumptions!$G$83+N14*Assumptions!$G$84)</f>
        <v>494.609141666667</v>
      </c>
      <c r="O58" s="67" t="n">
        <f aca="false">IF(O$5="A",Inputs_Actuals!O142+Inputs_Actuals!O148,O9*Assumptions!$G$79+O10*Assumptions!$G$80+O11*Assumptions!$G$81+O12*Assumptions!$G$82+O13*Assumptions!$G$83+O14*Assumptions!$G$84)</f>
        <v>494.609141666667</v>
      </c>
      <c r="P58" s="67" t="n">
        <f aca="false">IF(P$5="A",Inputs_Actuals!P142+Inputs_Actuals!P148,P9*Assumptions!$G$79+P10*Assumptions!$G$80+P11*Assumptions!$G$81+P12*Assumptions!$G$82+P13*Assumptions!$G$83+P14*Assumptions!$G$84)</f>
        <v>494.609141666667</v>
      </c>
      <c r="Q58" s="67" t="n">
        <f aca="false">IF(Q$5="A",Inputs_Actuals!Q142+Inputs_Actuals!Q148,Q9*Assumptions!$G$79+Q10*Assumptions!$G$80+Q11*Assumptions!$G$81+Q12*Assumptions!$G$82+Q13*Assumptions!$G$83+Q14*Assumptions!$G$84)</f>
        <v>491.212266666667</v>
      </c>
      <c r="R58" s="67" t="n">
        <f aca="false">IF(R$5="A",Inputs_Actuals!R142+Inputs_Actuals!R148,R9*Assumptions!$G$79+R10*Assumptions!$G$80+R11*Assumptions!$G$81+R12*Assumptions!$G$82+R13*Assumptions!$G$83+R14*Assumptions!$G$84)</f>
        <v>491.212266666667</v>
      </c>
      <c r="S58" s="67" t="n">
        <f aca="false">IF(S$5="A",Inputs_Actuals!S142+Inputs_Actuals!S148,S9*Assumptions!$G$79+S10*Assumptions!$G$80+S11*Assumptions!$G$81+S12*Assumptions!$G$82+S13*Assumptions!$G$83+S14*Assumptions!$G$84)</f>
        <v>501.293354166667</v>
      </c>
      <c r="T58" s="67" t="n">
        <f aca="false">IF(T$5="A",Inputs_Actuals!T142+Inputs_Actuals!T148,T9*Assumptions!$G$79+T10*Assumptions!$G$80+T11*Assumptions!$G$81+T12*Assumptions!$G$82+T13*Assumptions!$G$83+T14*Assumptions!$G$84)</f>
        <v>501.876416666667</v>
      </c>
      <c r="U58" s="67" t="n">
        <f aca="false">IF(U$5="A",Inputs_Actuals!U142+Inputs_Actuals!U148,U9*Assumptions!$G$79+U10*Assumptions!$G$80+U11*Assumptions!$G$81+U12*Assumptions!$G$82+U13*Assumptions!$G$83+U14*Assumptions!$G$84)</f>
        <v>501.876416666667</v>
      </c>
      <c r="V58" s="67" t="n">
        <f aca="false">IF(V$5="A",Inputs_Actuals!V142+Inputs_Actuals!V148,V9*Assumptions!$G$79+V10*Assumptions!$G$80+V11*Assumptions!$G$81+V12*Assumptions!$G$82+V13*Assumptions!$G$83+V14*Assumptions!$G$84)</f>
        <v>503.054026666667</v>
      </c>
      <c r="W58" s="67" t="n">
        <f aca="false">IF(W$5="A",Inputs_Actuals!W142+Inputs_Actuals!W148,W9*Assumptions!$G$79+W10*Assumptions!$G$80+W11*Assumptions!$G$81+W12*Assumptions!$G$82+W13*Assumptions!$G$83+W14*Assumptions!$G$84)</f>
        <v>497.560007916667</v>
      </c>
      <c r="X58" s="67" t="n">
        <f aca="false">IF(X$5="A",Inputs_Actuals!X142+Inputs_Actuals!X148,X9*Assumptions!$G$79+X10*Assumptions!$G$80+X11*Assumptions!$G$81+X12*Assumptions!$G$82+X13*Assumptions!$G$83+X14*Assumptions!$G$84)</f>
        <v>497.560007916667</v>
      </c>
      <c r="Y58" s="67" t="n">
        <f aca="false">IF(Y$5="A",Inputs_Actuals!Y142+Inputs_Actuals!Y148,Y9*Assumptions!$G$79+Y10*Assumptions!$G$80+Y11*Assumptions!$G$81+Y12*Assumptions!$G$82+Y13*Assumptions!$G$83+Y14*Assumptions!$G$84)</f>
        <v>497.560007916667</v>
      </c>
      <c r="Z58" s="67" t="n">
        <f aca="false">IF(Z$5="A",Inputs_Actuals!Z142+Inputs_Actuals!Z148,Z9*Assumptions!$G$79+Z10*Assumptions!$G$80+Z11*Assumptions!$G$81+Z12*Assumptions!$G$82+Z13*Assumptions!$G$83+Z14*Assumptions!$G$84)</f>
        <v>488.168826666667</v>
      </c>
      <c r="AA58" s="67" t="n">
        <f aca="false">IF(AA$5="A",Inputs_Actuals!AA142+Inputs_Actuals!AA148,AA9*Assumptions!$G$79+AA10*Assumptions!$G$80+AA11*Assumptions!$G$81+AA12*Assumptions!$G$82+AA13*Assumptions!$G$83+AA14*Assumptions!$G$84)</f>
        <v>488.168826666667</v>
      </c>
      <c r="AB58" s="67" t="n">
        <f aca="false">IF(AB$5="A",Inputs_Actuals!AB142+Inputs_Actuals!AB148,AB9*Assumptions!$G$79+AB10*Assumptions!$G$80+AB11*Assumptions!$G$81+AB12*Assumptions!$G$82+AB13*Assumptions!$G$83+AB14*Assumptions!$G$84)</f>
        <v>488.168826666667</v>
      </c>
    </row>
    <row r="59" customFormat="false" ht="15" hidden="false" customHeight="false" outlineLevel="0" collapsed="false">
      <c r="A59" s="28" t="s">
        <v>1040</v>
      </c>
      <c r="B59" s="58" t="s">
        <v>1041</v>
      </c>
      <c r="C59" s="66" t="n">
        <f aca="false">SUM(E59:P59)</f>
        <v>5855.13014166667</v>
      </c>
      <c r="D59" s="66" t="n">
        <f aca="false">SUM(Q59:AB59)</f>
        <v>5942.95124333333</v>
      </c>
      <c r="E59" s="67" t="n">
        <f aca="false">IF(E$5="A",Inputs_Actuals!E142,MIN(E58,E57*Assumptions!$C$32))</f>
        <v>504.6</v>
      </c>
      <c r="F59" s="67" t="n">
        <f aca="false">IF(F$5="A",Inputs_Actuals!F142,MIN(F58,F57*Assumptions!$C$32))</f>
        <v>494.9</v>
      </c>
      <c r="G59" s="67" t="n">
        <f aca="false">IF(G$5="A",Inputs_Actuals!G142,MIN(G58,G57*Assumptions!$C$32))</f>
        <v>501.3</v>
      </c>
      <c r="H59" s="67" t="n">
        <f aca="false">IF(H$5="A",Inputs_Actuals!H142,MIN(H58,H57*Assumptions!$C$32))</f>
        <v>498.1</v>
      </c>
      <c r="I59" s="67" t="n">
        <f aca="false">IF(I$5="A",Inputs_Actuals!I142,MIN(I58,I57*Assumptions!$C$32))</f>
        <v>505.4</v>
      </c>
      <c r="J59" s="67" t="n">
        <f aca="false">IF(J$5="A",Inputs_Actuals!J142,MIN(J58,J57*Assumptions!$C$32))</f>
        <v>496.4</v>
      </c>
      <c r="K59" s="67" t="n">
        <f aca="false">IF(K$5="A",Inputs_Actuals!K142,MIN(K58,K57*Assumptions!$C$32))</f>
        <v>389.6</v>
      </c>
      <c r="L59" s="67" t="n">
        <f aca="false">IF(L$5="A",Inputs_Actuals!L142,MIN(L58,L57*Assumptions!$C$32))</f>
        <v>483.2</v>
      </c>
      <c r="M59" s="67" t="n">
        <f aca="false">IF(M$5="A",Inputs_Actuals!M142,MIN(M58,M57*Assumptions!$C$32))</f>
        <v>497.802716666667</v>
      </c>
      <c r="N59" s="67" t="n">
        <f aca="false">IF(N$5="A",Inputs_Actuals!N142,MIN(N58,N57*Assumptions!$C$32))</f>
        <v>494.609141666667</v>
      </c>
      <c r="O59" s="67" t="n">
        <f aca="false">IF(O$5="A",Inputs_Actuals!O142,MIN(O58,O57*Assumptions!$C$32))</f>
        <v>494.609141666667</v>
      </c>
      <c r="P59" s="67" t="n">
        <f aca="false">IF(P$5="A",Inputs_Actuals!P142,MIN(P58,P57*Assumptions!$C$32))</f>
        <v>494.609141666667</v>
      </c>
      <c r="Q59" s="67" t="n">
        <f aca="false">IF(Q$5="A",Inputs_Actuals!Q142,MIN(Q58,Q57*Assumptions!$C$32))</f>
        <v>491.212266666667</v>
      </c>
      <c r="R59" s="67" t="n">
        <f aca="false">IF(R$5="A",Inputs_Actuals!R142,MIN(R58,R57*Assumptions!$C$32))</f>
        <v>491.212266666667</v>
      </c>
      <c r="S59" s="67" t="n">
        <f aca="false">IF(S$5="A",Inputs_Actuals!S142,MIN(S58,S57*Assumptions!$C$32))</f>
        <v>501.293354166667</v>
      </c>
      <c r="T59" s="67" t="n">
        <f aca="false">IF(T$5="A",Inputs_Actuals!T142,MIN(T58,T57*Assumptions!$C$32))</f>
        <v>501.876416666667</v>
      </c>
      <c r="U59" s="67" t="n">
        <f aca="false">IF(U$5="A",Inputs_Actuals!U142,MIN(U58,U57*Assumptions!$C$32))</f>
        <v>501.876416666667</v>
      </c>
      <c r="V59" s="67" t="n">
        <f aca="false">IF(V$5="A",Inputs_Actuals!V142,MIN(V58,V57*Assumptions!$C$32))</f>
        <v>503.054026666667</v>
      </c>
      <c r="W59" s="67" t="n">
        <f aca="false">IF(W$5="A",Inputs_Actuals!W142,MIN(W58,W57*Assumptions!$C$32))</f>
        <v>492.8</v>
      </c>
      <c r="X59" s="67" t="n">
        <f aca="false">IF(X$5="A",Inputs_Actuals!X142,MIN(X58,X57*Assumptions!$C$32))</f>
        <v>497.560007916667</v>
      </c>
      <c r="Y59" s="67" t="n">
        <f aca="false">IF(Y$5="A",Inputs_Actuals!Y142,MIN(Y58,Y57*Assumptions!$C$32))</f>
        <v>497.560007916667</v>
      </c>
      <c r="Z59" s="67" t="n">
        <f aca="false">IF(Z$5="A",Inputs_Actuals!Z142,MIN(Z58,Z57*Assumptions!$C$32))</f>
        <v>488.168826666667</v>
      </c>
      <c r="AA59" s="67" t="n">
        <f aca="false">IF(AA$5="A",Inputs_Actuals!AA142,MIN(AA58,AA57*Assumptions!$C$32))</f>
        <v>488.168826666667</v>
      </c>
      <c r="AB59" s="67" t="n">
        <f aca="false">IF(AB$5="A",Inputs_Actuals!AB142,MIN(AB58,AB57*Assumptions!$C$32))</f>
        <v>488.168826666667</v>
      </c>
    </row>
    <row r="60" customFormat="false" ht="15" hidden="false" customHeight="false" outlineLevel="0" collapsed="false">
      <c r="A60" s="28" t="s">
        <v>1042</v>
      </c>
      <c r="B60" s="58" t="s">
        <v>1043</v>
      </c>
      <c r="C60" s="66" t="n">
        <f aca="false">SUM(E60:P60)</f>
        <v>141.322</v>
      </c>
      <c r="D60" s="66" t="n">
        <f aca="false">SUM(Q60:AB60)</f>
        <v>4.76000791666667</v>
      </c>
      <c r="E60" s="67" t="n">
        <f aca="false">IF(E$5="A",Inputs_Actuals!E148,E58-E59)</f>
        <v>0.0169999999999959</v>
      </c>
      <c r="F60" s="67" t="n">
        <f aca="false">IF(F$5="A",Inputs_Actuals!F148,F58-F59)</f>
        <v>5.6843418860808E-014</v>
      </c>
      <c r="G60" s="67" t="n">
        <f aca="false">IF(G$5="A",Inputs_Actuals!G148,G58-G59)</f>
        <v>0.007000000000005</v>
      </c>
      <c r="H60" s="67" t="n">
        <f aca="false">IF(H$5="A",Inputs_Actuals!H148,H58-H59)</f>
        <v>0.0349999999999682</v>
      </c>
      <c r="I60" s="67" t="n">
        <f aca="false">IF(I$5="A",Inputs_Actuals!I148,I58-I59)</f>
        <v>0.0290000000000532</v>
      </c>
      <c r="J60" s="67" t="n">
        <f aca="false">IF(J$5="A",Inputs_Actuals!J148,J58-J59)</f>
        <v>2.43900000000002</v>
      </c>
      <c r="K60" s="67" t="n">
        <f aca="false">IF(K$5="A",Inputs_Actuals!K148,K58-K59)</f>
        <v>117.601</v>
      </c>
      <c r="L60" s="67" t="n">
        <f aca="false">IF(L$5="A",Inputs_Actuals!L148,L58-L59)</f>
        <v>21.1940000000001</v>
      </c>
      <c r="M60" s="67" t="n">
        <f aca="false">IF(M$5="A",Inputs_Actuals!M148,M58-M59)</f>
        <v>0</v>
      </c>
      <c r="N60" s="67" t="n">
        <f aca="false">IF(N$5="A",Inputs_Actuals!N148,N58-N59)</f>
        <v>0</v>
      </c>
      <c r="O60" s="67" t="n">
        <f aca="false">IF(O$5="A",Inputs_Actuals!O148,O58-O59)</f>
        <v>0</v>
      </c>
      <c r="P60" s="67" t="n">
        <f aca="false">IF(P$5="A",Inputs_Actuals!P148,P58-P59)</f>
        <v>0</v>
      </c>
      <c r="Q60" s="67" t="n">
        <f aca="false">IF(Q$5="A",Inputs_Actuals!Q148,Q58-Q59)</f>
        <v>0</v>
      </c>
      <c r="R60" s="67" t="n">
        <f aca="false">IF(R$5="A",Inputs_Actuals!R148,R58-R59)</f>
        <v>0</v>
      </c>
      <c r="S60" s="67" t="n">
        <f aca="false">IF(S$5="A",Inputs_Actuals!S148,S58-S59)</f>
        <v>0</v>
      </c>
      <c r="T60" s="67" t="n">
        <f aca="false">IF(T$5="A",Inputs_Actuals!T148,T58-T59)</f>
        <v>0</v>
      </c>
      <c r="U60" s="67" t="n">
        <f aca="false">IF(U$5="A",Inputs_Actuals!U148,U58-U59)</f>
        <v>0</v>
      </c>
      <c r="V60" s="67" t="n">
        <f aca="false">IF(V$5="A",Inputs_Actuals!V148,V58-V59)</f>
        <v>0</v>
      </c>
      <c r="W60" s="67" t="n">
        <f aca="false">IF(W$5="A",Inputs_Actuals!W148,W58-W59)</f>
        <v>4.76000791666667</v>
      </c>
      <c r="X60" s="67" t="n">
        <f aca="false">IF(X$5="A",Inputs_Actuals!X148,X58-X59)</f>
        <v>0</v>
      </c>
      <c r="Y60" s="67" t="n">
        <f aca="false">IF(Y$5="A",Inputs_Actuals!Y148,Y58-Y59)</f>
        <v>0</v>
      </c>
      <c r="Z60" s="67" t="n">
        <f aca="false">IF(Z$5="A",Inputs_Actuals!Z148,Z58-Z59)</f>
        <v>0</v>
      </c>
      <c r="AA60" s="67" t="n">
        <f aca="false">IF(AA$5="A",Inputs_Actuals!AA148,AA58-AA59)</f>
        <v>0</v>
      </c>
      <c r="AB60" s="67" t="n">
        <f aca="false">IF(AB$5="A",Inputs_Actuals!AB148,AB58-AB59)</f>
        <v>0</v>
      </c>
    </row>
    <row r="61" customFormat="false" ht="15" hidden="false" customHeight="false" outlineLevel="0" collapsed="false">
      <c r="A61" s="28" t="s">
        <v>1044</v>
      </c>
      <c r="B61" s="58"/>
      <c r="C61" s="61" t="n">
        <f aca="false">IF(C57=0,0,C59/C57)</f>
        <v>0.810286485146231</v>
      </c>
      <c r="D61" s="61" t="n">
        <f aca="false">IF(D57=0,0,D59/D57)</f>
        <v>0.683883917529728</v>
      </c>
      <c r="E61" s="62" t="n">
        <f aca="false">IF(E57=0,0,E59/E57)</f>
        <v>0.829934210526316</v>
      </c>
      <c r="F61" s="62" t="n">
        <f aca="false">IF(F57=0,0,F59/F57)</f>
        <v>0.847431506849315</v>
      </c>
      <c r="G61" s="62" t="n">
        <f aca="false">IF(G57=0,0,G59/G57)</f>
        <v>0.793196202531646</v>
      </c>
      <c r="H61" s="62" t="n">
        <f aca="false">IF(H57=0,0,H59/H57)</f>
        <v>0.830166666666667</v>
      </c>
      <c r="I61" s="62" t="n">
        <f aca="false">IF(I57=0,0,I59/I57)</f>
        <v>0.842333333333333</v>
      </c>
      <c r="J61" s="62" t="n">
        <f aca="false">IF(J57=0,0,J59/J57)</f>
        <v>0.899275362318841</v>
      </c>
      <c r="K61" s="62" t="n">
        <f aca="false">IF(K57=0,0,K59/K57)</f>
        <v>0.869642857142857</v>
      </c>
      <c r="L61" s="62" t="n">
        <f aca="false">IF(L57=0,0,L59/L57)</f>
        <v>0.888235294117647</v>
      </c>
      <c r="M61" s="62" t="n">
        <f aca="false">IF(M57=0,0,M59/M57)</f>
        <v>0.787662526371308</v>
      </c>
      <c r="N61" s="62" t="n">
        <f aca="false">IF(N57=0,0,N59/N57)</f>
        <v>0.753977350101626</v>
      </c>
      <c r="O61" s="62" t="n">
        <f aca="false">IF(O57=0,0,O59/O57)</f>
        <v>0.650801502192983</v>
      </c>
      <c r="P61" s="62" t="n">
        <f aca="false">IF(P57=0,0,P59/P57)</f>
        <v>0.810834658469945</v>
      </c>
      <c r="Q61" s="62" t="n">
        <f aca="false">IF(Q57=0,0,Q59/Q57)</f>
        <v>0.646331929824561</v>
      </c>
      <c r="R61" s="62" t="n">
        <f aca="false">IF(R57=0,0,R59/R57)</f>
        <v>0.672893515981735</v>
      </c>
      <c r="S61" s="62" t="n">
        <f aca="false">IF(S57=0,0,S59/S57)</f>
        <v>0.634548549578059</v>
      </c>
      <c r="T61" s="62" t="n">
        <f aca="false">IF(T57=0,0,T59/T57)</f>
        <v>0.669168555555556</v>
      </c>
      <c r="U61" s="62" t="n">
        <f aca="false">IF(U57=0,0,U59/U57)</f>
        <v>0.669168555555556</v>
      </c>
      <c r="V61" s="62" t="n">
        <f aca="false">IF(V57=0,0,V59/V57)</f>
        <v>0.729063806763285</v>
      </c>
      <c r="W61" s="62" t="n">
        <f aca="false">IF(W57=0,0,W59/W57)</f>
        <v>0.88</v>
      </c>
      <c r="X61" s="62" t="n">
        <f aca="false">IF(X57=0,0,X59/X57)</f>
        <v>0.731705893995098</v>
      </c>
      <c r="Y61" s="62" t="n">
        <f aca="false">IF(Y57=0,0,Y59/Y57)</f>
        <v>0.629822794831224</v>
      </c>
      <c r="Z61" s="62" t="n">
        <f aca="false">IF(Z57=0,0,Z59/Z57)</f>
        <v>0.595327837398374</v>
      </c>
      <c r="AA61" s="62" t="n">
        <f aca="false">IF(AA57=0,0,AA59/AA57)</f>
        <v>0.642327403508772</v>
      </c>
      <c r="AB61" s="62" t="n">
        <f aca="false">IF(AB57=0,0,AB59/AB57)</f>
        <v>0.800276765027323</v>
      </c>
    </row>
    <row r="62" customFormat="false" ht="15" hidden="false" customHeight="false" outlineLevel="0" collapsed="false">
      <c r="A62" s="28" t="s">
        <v>1045</v>
      </c>
      <c r="B62" s="58" t="s">
        <v>1046</v>
      </c>
      <c r="C62" s="59" t="n">
        <f aca="false">SUM(E62:P62)</f>
        <v>599645.214166667</v>
      </c>
      <c r="D62" s="59" t="n">
        <f aca="false">SUM(Q62:AB62)</f>
        <v>618561.97013</v>
      </c>
      <c r="E62" s="60" t="n">
        <f aca="false">E58*Assumptions!$C$38*E72</f>
        <v>50461.7</v>
      </c>
      <c r="F62" s="60" t="n">
        <f aca="false">F58*Assumptions!$C$38*F72</f>
        <v>49490</v>
      </c>
      <c r="G62" s="60" t="n">
        <f aca="false">G58*Assumptions!$C$38*G72</f>
        <v>50130.7</v>
      </c>
      <c r="H62" s="60" t="n">
        <f aca="false">H58*Assumptions!$C$38*H72</f>
        <v>49813.5</v>
      </c>
      <c r="I62" s="60" t="n">
        <f aca="false">I58*Assumptions!$C$38*I72</f>
        <v>50542.9</v>
      </c>
      <c r="J62" s="60" t="n">
        <f aca="false">J58*Assumptions!$C$38*J72</f>
        <v>49883.9</v>
      </c>
      <c r="K62" s="60" t="n">
        <f aca="false">K58*Assumptions!$C$38*K72</f>
        <v>50720.1</v>
      </c>
      <c r="L62" s="60" t="n">
        <f aca="false">L58*Assumptions!$C$38*L72</f>
        <v>50439.4</v>
      </c>
      <c r="M62" s="60" t="n">
        <f aca="false">M58*Assumptions!$C$38*M72</f>
        <v>49780.2716666667</v>
      </c>
      <c r="N62" s="60" t="n">
        <f aca="false">N58*Assumptions!$C$38*N72</f>
        <v>49460.9141666667</v>
      </c>
      <c r="O62" s="60" t="n">
        <f aca="false">O58*Assumptions!$C$38*O72</f>
        <v>49460.9141666667</v>
      </c>
      <c r="P62" s="60" t="n">
        <f aca="false">P58*Assumptions!$C$38*P72</f>
        <v>49460.9141666667</v>
      </c>
      <c r="Q62" s="60" t="n">
        <f aca="false">Q58*Assumptions!$C$38*Q72</f>
        <v>51086.0757333333</v>
      </c>
      <c r="R62" s="60" t="n">
        <f aca="false">R58*Assumptions!$C$38*R72</f>
        <v>51086.0757333333</v>
      </c>
      <c r="S62" s="60" t="n">
        <f aca="false">S58*Assumptions!$C$38*S72</f>
        <v>52134.5088333333</v>
      </c>
      <c r="T62" s="60" t="n">
        <f aca="false">T58*Assumptions!$C$38*T72</f>
        <v>52195.1473333333</v>
      </c>
      <c r="U62" s="60" t="n">
        <f aca="false">U58*Assumptions!$C$38*U72</f>
        <v>52195.1473333333</v>
      </c>
      <c r="V62" s="60" t="n">
        <f aca="false">V58*Assumptions!$C$38*V72</f>
        <v>52317.6187733333</v>
      </c>
      <c r="W62" s="60" t="n">
        <f aca="false">W58*Assumptions!$C$38*W72</f>
        <v>51746.2408233333</v>
      </c>
      <c r="X62" s="60" t="n">
        <f aca="false">X58*Assumptions!$C$38*X72</f>
        <v>51746.2408233333</v>
      </c>
      <c r="Y62" s="60" t="n">
        <f aca="false">Y58*Assumptions!$C$38*Y72</f>
        <v>51746.2408233333</v>
      </c>
      <c r="Z62" s="60" t="n">
        <f aca="false">Z58*Assumptions!$C$38*Z72</f>
        <v>50769.5579733333</v>
      </c>
      <c r="AA62" s="60" t="n">
        <f aca="false">AA58*Assumptions!$C$38*AA72</f>
        <v>50769.5579733333</v>
      </c>
      <c r="AB62" s="60" t="n">
        <f aca="false">AB58*Assumptions!$C$38*AB72</f>
        <v>50769.5579733333</v>
      </c>
    </row>
    <row r="63" customFormat="false" ht="15" hidden="false" customHeight="false" outlineLevel="0" collapsed="false">
      <c r="A63" s="22" t="s">
        <v>1051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row>
    <row r="64" customFormat="false" ht="15" hidden="false" customHeight="false" outlineLevel="0" collapsed="false">
      <c r="A64" s="28" t="s">
        <v>311</v>
      </c>
      <c r="B64" s="58" t="s">
        <v>1035</v>
      </c>
      <c r="C64" s="66" t="n">
        <f aca="false">P64</f>
        <v>3</v>
      </c>
      <c r="D64" s="66" t="n">
        <f aca="false">AB64</f>
        <v>3</v>
      </c>
      <c r="E64" s="67" t="n">
        <f aca="false">IF(E$5="A",Inputs_Actuals!E137,Inputs_Actuals!E137-E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F64" s="67" t="n">
        <f aca="false">IF(F$5="A",Inputs_Actuals!F137,E64-F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G64" s="67" t="n">
        <f aca="false">IF(G$5="A",Inputs_Actuals!G137,F64-G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H64" s="67" t="n">
        <f aca="false">IF(H$5="A",Inputs_Actuals!H137,G64-H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I64" s="67" t="n">
        <f aca="false">IF(I$5="A",Inputs_Actuals!I137,H64-I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J64" s="67" t="n">
        <f aca="false">IF(J$5="A",Inputs_Actuals!J137,I64-J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K64" s="67" t="n">
        <f aca="false">IF(K$5="A",Inputs_Actuals!K137,J64-K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L64" s="67" t="n">
        <f aca="false">IF(L$5="A",Inputs_Actuals!L137,K64-L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M64" s="67" t="n">
        <f aca="false">IF(M$5="A",Inputs_Actuals!M137,L64-M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N64" s="67" t="n">
        <f aca="false">IF(N$5="A",Inputs_Actuals!N137,M64-N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O64" s="67" t="n">
        <f aca="false">IF(O$5="A",Inputs_Actuals!O137,N64-O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P64" s="67" t="n">
        <f aca="false">IF(P$5="A",Inputs_Actuals!P137,O64-P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Q64" s="67" t="n">
        <f aca="false">IF(Q$5="A",Inputs_Actuals!Q137,P64-Q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R64" s="67" t="n">
        <f aca="false">IF(R$5="A",Inputs_Actuals!R137,Q64-R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S64" s="67" t="n">
        <f aca="false">IF(S$5="A",Inputs_Actuals!S137,R64-S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T64" s="67" t="n">
        <f aca="false">IF(T$5="A",Inputs_Actuals!T137,S64-T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U64" s="67" t="n">
        <f aca="false">IF(U$5="A",Inputs_Actuals!U137,T64-U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V64" s="67" t="n">
        <f aca="false">IF(V$5="A",Inputs_Actuals!V137,U64-V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W64" s="67" t="n">
        <f aca="false">IF(W$5="A",Inputs_Actuals!W137,V64-W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X64" s="67" t="n">
        <f aca="false">IF(X$5="A",Inputs_Actuals!X137,W64-X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Y64" s="67" t="n">
        <f aca="false">IF(Y$5="A",Inputs_Actuals!Y137,X64-Y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Z64" s="67" t="n">
        <f aca="false">IF(Z$5="A",Inputs_Actuals!Z137,Y64-Z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AA64" s="67" t="n">
        <f aca="false">IF(AA$5="A",Inputs_Actuals!AA137,Z64-AA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c r="AB64" s="67" t="n">
        <f aca="false">IF(AB$5="A",Inputs_Actuals!AB137,AA64-AB22*INDEX(Inputs_Actuals!$E$137:$AB$137,Assumptions!$C$10)/(INDEX(Inputs_Actuals!$E$132:$AB$132,Assumptions!$C$10)+INDEX(Inputs_Actuals!$E$133:$AB$133,Assumptions!$C$10)+INDEX(Inputs_Actuals!$E$134:$AB$134,Assumptions!$C$10)+INDEX(Inputs_Actuals!$E$135:$AB$135,Assumptions!$C$10)+INDEX(Inputs_Actuals!$E$136:$AB$136,Assumptions!$C$10)+INDEX(Inputs_Actuals!$E$137:$AB$137,Assumptions!$C$10)))</f>
        <v>3</v>
      </c>
    </row>
    <row r="65" customFormat="false" ht="15" hidden="false" customHeight="false" outlineLevel="0" collapsed="false">
      <c r="A65" s="28" t="s">
        <v>1036</v>
      </c>
      <c r="B65" s="58" t="s">
        <v>1037</v>
      </c>
      <c r="C65" s="66" t="n">
        <f aca="false">SUM(E65:P65)</f>
        <v>5214</v>
      </c>
      <c r="D65" s="66" t="n">
        <f aca="false">SUM(Q65:AB65)</f>
        <v>5214</v>
      </c>
      <c r="E65" s="67" t="n">
        <f aca="false">E64*Assumptions!E$107</f>
        <v>456</v>
      </c>
      <c r="F65" s="67" t="n">
        <f aca="false">F64*Assumptions!F$107</f>
        <v>438</v>
      </c>
      <c r="G65" s="67" t="n">
        <f aca="false">G64*Assumptions!G$107</f>
        <v>474</v>
      </c>
      <c r="H65" s="67" t="n">
        <f aca="false">H64*Assumptions!H$107</f>
        <v>450</v>
      </c>
      <c r="I65" s="67" t="n">
        <f aca="false">I64*Assumptions!I$107</f>
        <v>450</v>
      </c>
      <c r="J65" s="67" t="n">
        <f aca="false">J64*Assumptions!J$107</f>
        <v>414</v>
      </c>
      <c r="K65" s="67" t="n">
        <f aca="false">K64*Assumptions!K$107</f>
        <v>336</v>
      </c>
      <c r="L65" s="67" t="n">
        <f aca="false">L64*Assumptions!L$107</f>
        <v>408</v>
      </c>
      <c r="M65" s="67" t="n">
        <f aca="false">M64*Assumptions!M$107</f>
        <v>474</v>
      </c>
      <c r="N65" s="67" t="n">
        <f aca="false">N64*Assumptions!N$107</f>
        <v>492</v>
      </c>
      <c r="O65" s="67" t="n">
        <f aca="false">O64*Assumptions!O$107</f>
        <v>456</v>
      </c>
      <c r="P65" s="67" t="n">
        <f aca="false">P64*Assumptions!P$107</f>
        <v>366</v>
      </c>
      <c r="Q65" s="67" t="n">
        <f aca="false">Q64*Assumptions!Q$107</f>
        <v>456</v>
      </c>
      <c r="R65" s="67" t="n">
        <f aca="false">R64*Assumptions!R$107</f>
        <v>438</v>
      </c>
      <c r="S65" s="67" t="n">
        <f aca="false">S64*Assumptions!S$107</f>
        <v>474</v>
      </c>
      <c r="T65" s="67" t="n">
        <f aca="false">T64*Assumptions!T$107</f>
        <v>450</v>
      </c>
      <c r="U65" s="67" t="n">
        <f aca="false">U64*Assumptions!U$107</f>
        <v>450</v>
      </c>
      <c r="V65" s="67" t="n">
        <f aca="false">V64*Assumptions!V$107</f>
        <v>414</v>
      </c>
      <c r="W65" s="67" t="n">
        <f aca="false">W64*Assumptions!W$107</f>
        <v>336</v>
      </c>
      <c r="X65" s="67" t="n">
        <f aca="false">X64*Assumptions!X$107</f>
        <v>408</v>
      </c>
      <c r="Y65" s="67" t="n">
        <f aca="false">Y64*Assumptions!Y$107</f>
        <v>474</v>
      </c>
      <c r="Z65" s="67" t="n">
        <f aca="false">Z64*Assumptions!Z$107</f>
        <v>492</v>
      </c>
      <c r="AA65" s="67" t="n">
        <f aca="false">AA64*Assumptions!AA$107</f>
        <v>456</v>
      </c>
      <c r="AB65" s="67" t="n">
        <f aca="false">AB64*Assumptions!AB$107</f>
        <v>366</v>
      </c>
    </row>
    <row r="66" customFormat="false" ht="15" hidden="false" customHeight="false" outlineLevel="0" collapsed="false">
      <c r="A66" s="28" t="s">
        <v>1038</v>
      </c>
      <c r="B66" s="58" t="s">
        <v>1039</v>
      </c>
      <c r="C66" s="66" t="n">
        <f aca="false">SUM(E66:P66)</f>
        <v>4113.70641058688</v>
      </c>
      <c r="D66" s="66" t="n">
        <f aca="false">SUM(Q66:AB66)</f>
        <v>4107.41388208333</v>
      </c>
      <c r="E66" s="67" t="n">
        <f aca="false">IF(E$5="A",Inputs_Actuals!E143+Inputs_Actuals!E149,E9*Assumptions!$H$79+E10*Assumptions!$H$80+E11*Assumptions!$H$81+E12*Assumptions!$H$82+E13*Assumptions!$H$83+E14*Assumptions!$H$84)</f>
        <v>293.66</v>
      </c>
      <c r="F66" s="67" t="n">
        <f aca="false">IF(F$5="A",Inputs_Actuals!F143+Inputs_Actuals!F149,F9*Assumptions!$H$79+F10*Assumptions!$H$80+F11*Assumptions!$H$81+F12*Assumptions!$H$82+F13*Assumptions!$H$83+F14*Assumptions!$H$84)</f>
        <v>267.86</v>
      </c>
      <c r="G66" s="67" t="n">
        <f aca="false">IF(G$5="A",Inputs_Actuals!G143+Inputs_Actuals!G149,G9*Assumptions!$H$79+G10*Assumptions!$H$80+G11*Assumptions!$H$81+G12*Assumptions!$H$82+G13*Assumptions!$H$83+G14*Assumptions!$H$84)</f>
        <v>286.755</v>
      </c>
      <c r="H66" s="67" t="n">
        <f aca="false">IF(H$5="A",Inputs_Actuals!H143+Inputs_Actuals!H149,H9*Assumptions!$H$79+H10*Assumptions!$H$80+H11*Assumptions!$H$81+H12*Assumptions!$H$82+H13*Assumptions!$H$83+H14*Assumptions!$H$84)</f>
        <v>312.15</v>
      </c>
      <c r="I66" s="67" t="n">
        <f aca="false">IF(I$5="A",Inputs_Actuals!I143+Inputs_Actuals!I149,I9*Assumptions!$H$79+I10*Assumptions!$H$80+I11*Assumptions!$H$81+I12*Assumptions!$H$82+I13*Assumptions!$H$83+I14*Assumptions!$H$84)</f>
        <v>346.185</v>
      </c>
      <c r="J66" s="67" t="n">
        <f aca="false">IF(J$5="A",Inputs_Actuals!J143+Inputs_Actuals!J149,J9*Assumptions!$H$79+J10*Assumptions!$H$80+J11*Assumptions!$H$81+J12*Assumptions!$H$82+J13*Assumptions!$H$83+J14*Assumptions!$H$84)</f>
        <v>399.44</v>
      </c>
      <c r="K66" s="67" t="n">
        <f aca="false">IF(K$5="A",Inputs_Actuals!K143+Inputs_Actuals!K149,K9*Assumptions!$H$79+K10*Assumptions!$H$80+K11*Assumptions!$H$81+K12*Assumptions!$H$82+K13*Assumptions!$H$83+K14*Assumptions!$H$84)</f>
        <v>403.42</v>
      </c>
      <c r="L66" s="67" t="n">
        <f aca="false">IF(L$5="A",Inputs_Actuals!L143+Inputs_Actuals!L149,L9*Assumptions!$H$79+L10*Assumptions!$H$80+L11*Assumptions!$H$81+L12*Assumptions!$H$82+L13*Assumptions!$H$83+L14*Assumptions!$H$84)</f>
        <v>419.97</v>
      </c>
      <c r="M66" s="67" t="n">
        <f aca="false">IF(M$5="A",Inputs_Actuals!M143+Inputs_Actuals!M149,M9*Assumptions!$H$79+M10*Assumptions!$H$80+M11*Assumptions!$H$81+M12*Assumptions!$H$82+M13*Assumptions!$H$83+M14*Assumptions!$H$84)</f>
        <v>408.03182664063</v>
      </c>
      <c r="N66" s="67" t="n">
        <f aca="false">IF(N$5="A",Inputs_Actuals!N143+Inputs_Actuals!N149,N9*Assumptions!$H$79+N10*Assumptions!$H$80+N11*Assumptions!$H$81+N12*Assumptions!$H$82+N13*Assumptions!$H$83+N14*Assumptions!$H$84)</f>
        <v>365.843273615092</v>
      </c>
      <c r="O66" s="67" t="n">
        <f aca="false">IF(O$5="A",Inputs_Actuals!O143+Inputs_Actuals!O149,O9*Assumptions!$H$79+O10*Assumptions!$H$80+O11*Assumptions!$H$81+O12*Assumptions!$H$82+O13*Assumptions!$H$83+O14*Assumptions!$H$84)</f>
        <v>326.778439895793</v>
      </c>
      <c r="P66" s="67" t="n">
        <f aca="false">IF(P$5="A",Inputs_Actuals!P143+Inputs_Actuals!P149,P9*Assumptions!$H$79+P10*Assumptions!$H$80+P11*Assumptions!$H$81+P12*Assumptions!$H$82+P13*Assumptions!$H$83+P14*Assumptions!$H$84)</f>
        <v>283.612870435366</v>
      </c>
      <c r="Q66" s="67" t="n">
        <f aca="false">IF(Q$5="A",Inputs_Actuals!Q143+Inputs_Actuals!Q149,Q9*Assumptions!$H$79+Q10*Assumptions!$H$80+Q11*Assumptions!$H$81+Q12*Assumptions!$H$82+Q13*Assumptions!$H$83+Q14*Assumptions!$H$84)</f>
        <v>297.275505173571</v>
      </c>
      <c r="R66" s="67" t="n">
        <f aca="false">IF(R$5="A",Inputs_Actuals!R143+Inputs_Actuals!R149,R9*Assumptions!$H$79+R10*Assumptions!$H$80+R11*Assumptions!$H$81+R12*Assumptions!$H$82+R13*Assumptions!$H$83+R14*Assumptions!$H$84)</f>
        <v>333.633525594735</v>
      </c>
      <c r="S66" s="67" t="n">
        <f aca="false">IF(S$5="A",Inputs_Actuals!S143+Inputs_Actuals!S149,S9*Assumptions!$H$79+S10*Assumptions!$H$80+S11*Assumptions!$H$81+S12*Assumptions!$H$82+S13*Assumptions!$H$83+S14*Assumptions!$H$84)</f>
        <v>362.783575613276</v>
      </c>
      <c r="T66" s="67" t="n">
        <f aca="false">IF(T$5="A",Inputs_Actuals!T143+Inputs_Actuals!T149,T9*Assumptions!$H$79+T10*Assumptions!$H$80+T11*Assumptions!$H$81+T12*Assumptions!$H$82+T13*Assumptions!$H$83+T14*Assumptions!$H$84)</f>
        <v>378.21059802371</v>
      </c>
      <c r="U66" s="67" t="n">
        <f aca="false">IF(U$5="A",Inputs_Actuals!U143+Inputs_Actuals!U149,U9*Assumptions!$H$79+U10*Assumptions!$H$80+U11*Assumptions!$H$81+U12*Assumptions!$H$82+U13*Assumptions!$H$83+U14*Assumptions!$H$84)</f>
        <v>375.499592192806</v>
      </c>
      <c r="V66" s="67" t="n">
        <f aca="false">IF(V$5="A",Inputs_Actuals!V143+Inputs_Actuals!V149,V9*Assumptions!$H$79+V10*Assumptions!$H$80+V11*Assumptions!$H$81+V12*Assumptions!$H$82+V13*Assumptions!$H$83+V14*Assumptions!$H$84)</f>
        <v>358.491809128428</v>
      </c>
      <c r="W66" s="67" t="n">
        <f aca="false">IF(W$5="A",Inputs_Actuals!W143+Inputs_Actuals!W149,W9*Assumptions!$H$79+W10*Assumptions!$H$80+W11*Assumptions!$H$81+W12*Assumptions!$H$82+W13*Assumptions!$H$83+W14*Assumptions!$H$84)</f>
        <v>353.142506931362</v>
      </c>
      <c r="X66" s="67" t="n">
        <f aca="false">IF(X$5="A",Inputs_Actuals!X143+Inputs_Actuals!X149,X9*Assumptions!$H$79+X10*Assumptions!$H$80+X11*Assumptions!$H$81+X12*Assumptions!$H$82+X13*Assumptions!$H$83+X14*Assumptions!$H$84)</f>
        <v>342.775547209778</v>
      </c>
      <c r="Y66" s="67" t="n">
        <f aca="false">IF(Y$5="A",Inputs_Actuals!Y143+Inputs_Actuals!Y149,Y9*Assumptions!$H$79+Y10*Assumptions!$H$80+Y11*Assumptions!$H$81+Y12*Assumptions!$H$82+Y13*Assumptions!$H$83+Y14*Assumptions!$H$84)</f>
        <v>321.874492537879</v>
      </c>
      <c r="Z66" s="67" t="n">
        <f aca="false">IF(Z$5="A",Inputs_Actuals!Z143+Inputs_Actuals!Z149,Z9*Assumptions!$H$79+Z10*Assumptions!$H$80+Z11*Assumptions!$H$81+Z12*Assumptions!$H$82+Z13*Assumptions!$H$83+Z14*Assumptions!$H$84)</f>
        <v>339.47266823552</v>
      </c>
      <c r="AA66" s="67" t="n">
        <f aca="false">IF(AA$5="A",Inputs_Actuals!AA143+Inputs_Actuals!AA149,AA9*Assumptions!$H$79+AA10*Assumptions!$H$80+AA11*Assumptions!$H$81+AA12*Assumptions!$H$82+AA13*Assumptions!$H$83+AA14*Assumptions!$H$84)</f>
        <v>335.412829340238</v>
      </c>
      <c r="AB66" s="67" t="n">
        <f aca="false">IF(AB$5="A",Inputs_Actuals!AB143+Inputs_Actuals!AB149,AB9*Assumptions!$H$79+AB10*Assumptions!$H$80+AB11*Assumptions!$H$81+AB12*Assumptions!$H$82+AB13*Assumptions!$H$83+AB14*Assumptions!$H$84)</f>
        <v>308.841232102033</v>
      </c>
    </row>
    <row r="67" customFormat="false" ht="15" hidden="false" customHeight="false" outlineLevel="0" collapsed="false">
      <c r="A67" s="28" t="s">
        <v>1040</v>
      </c>
      <c r="B67" s="58" t="s">
        <v>1041</v>
      </c>
      <c r="C67" s="66" t="n">
        <f aca="false">SUM(E67:P67)</f>
        <v>3906.56641058688</v>
      </c>
      <c r="D67" s="66" t="n">
        <f aca="false">SUM(Q67:AB67)</f>
        <v>4049.95137515197</v>
      </c>
      <c r="E67" s="67" t="n">
        <f aca="false">IF(E$5="A",Inputs_Actuals!E143,MIN(E66,E65*Assumptions!$C$32))</f>
        <v>293.6</v>
      </c>
      <c r="F67" s="67" t="n">
        <f aca="false">IF(F$5="A",Inputs_Actuals!F143,MIN(F66,F65*Assumptions!$C$32))</f>
        <v>267.8</v>
      </c>
      <c r="G67" s="67" t="n">
        <f aca="false">IF(G$5="A",Inputs_Actuals!G143,MIN(G66,G65*Assumptions!$C$32))</f>
        <v>286.7</v>
      </c>
      <c r="H67" s="67" t="n">
        <f aca="false">IF(H$5="A",Inputs_Actuals!H143,MIN(H66,H65*Assumptions!$C$32))</f>
        <v>312.1</v>
      </c>
      <c r="I67" s="67" t="n">
        <f aca="false">IF(I$5="A",Inputs_Actuals!I143,MIN(I66,I65*Assumptions!$C$32))</f>
        <v>346.1</v>
      </c>
      <c r="J67" s="67" t="n">
        <f aca="false">IF(J$5="A",Inputs_Actuals!J143,MIN(J66,J65*Assumptions!$C$32))</f>
        <v>366.5</v>
      </c>
      <c r="K67" s="67" t="n">
        <f aca="false">IF(K$5="A",Inputs_Actuals!K143,MIN(K66,K65*Assumptions!$C$32))</f>
        <v>296.9</v>
      </c>
      <c r="L67" s="67" t="n">
        <f aca="false">IF(L$5="A",Inputs_Actuals!L143,MIN(L66,L65*Assumptions!$C$32))</f>
        <v>352.6</v>
      </c>
      <c r="M67" s="67" t="n">
        <f aca="false">IF(M$5="A",Inputs_Actuals!M143,MIN(M66,M65*Assumptions!$C$32))</f>
        <v>408.03182664063</v>
      </c>
      <c r="N67" s="67" t="n">
        <f aca="false">IF(N$5="A",Inputs_Actuals!N143,MIN(N66,N65*Assumptions!$C$32))</f>
        <v>365.843273615092</v>
      </c>
      <c r="O67" s="67" t="n">
        <f aca="false">IF(O$5="A",Inputs_Actuals!O143,MIN(O66,O65*Assumptions!$C$32))</f>
        <v>326.778439895793</v>
      </c>
      <c r="P67" s="67" t="n">
        <f aca="false">IF(P$5="A",Inputs_Actuals!P143,MIN(P66,P65*Assumptions!$C$32))</f>
        <v>283.612870435366</v>
      </c>
      <c r="Q67" s="67" t="n">
        <f aca="false">IF(Q$5="A",Inputs_Actuals!Q143,MIN(Q66,Q65*Assumptions!$C$32))</f>
        <v>297.275505173571</v>
      </c>
      <c r="R67" s="67" t="n">
        <f aca="false">IF(R$5="A",Inputs_Actuals!R143,MIN(R66,R65*Assumptions!$C$32))</f>
        <v>333.633525594735</v>
      </c>
      <c r="S67" s="67" t="n">
        <f aca="false">IF(S$5="A",Inputs_Actuals!S143,MIN(S66,S65*Assumptions!$C$32))</f>
        <v>362.783575613276</v>
      </c>
      <c r="T67" s="67" t="n">
        <f aca="false">IF(T$5="A",Inputs_Actuals!T143,MIN(T66,T65*Assumptions!$C$32))</f>
        <v>378.21059802371</v>
      </c>
      <c r="U67" s="67" t="n">
        <f aca="false">IF(U$5="A",Inputs_Actuals!U143,MIN(U66,U65*Assumptions!$C$32))</f>
        <v>375.499592192806</v>
      </c>
      <c r="V67" s="67" t="n">
        <f aca="false">IF(V$5="A",Inputs_Actuals!V143,MIN(V66,V65*Assumptions!$C$32))</f>
        <v>358.491809128428</v>
      </c>
      <c r="W67" s="67" t="n">
        <f aca="false">IF(W$5="A",Inputs_Actuals!W143,MIN(W66,W65*Assumptions!$C$32))</f>
        <v>295.68</v>
      </c>
      <c r="X67" s="67" t="n">
        <f aca="false">IF(X$5="A",Inputs_Actuals!X143,MIN(X66,X65*Assumptions!$C$32))</f>
        <v>342.775547209778</v>
      </c>
      <c r="Y67" s="67" t="n">
        <f aca="false">IF(Y$5="A",Inputs_Actuals!Y143,MIN(Y66,Y65*Assumptions!$C$32))</f>
        <v>321.874492537879</v>
      </c>
      <c r="Z67" s="67" t="n">
        <f aca="false">IF(Z$5="A",Inputs_Actuals!Z143,MIN(Z66,Z65*Assumptions!$C$32))</f>
        <v>339.47266823552</v>
      </c>
      <c r="AA67" s="67" t="n">
        <f aca="false">IF(AA$5="A",Inputs_Actuals!AA143,MIN(AA66,AA65*Assumptions!$C$32))</f>
        <v>335.412829340238</v>
      </c>
      <c r="AB67" s="67" t="n">
        <f aca="false">IF(AB$5="A",Inputs_Actuals!AB143,MIN(AB66,AB65*Assumptions!$C$32))</f>
        <v>308.841232102033</v>
      </c>
    </row>
    <row r="68" customFormat="false" ht="15" hidden="false" customHeight="false" outlineLevel="0" collapsed="false">
      <c r="A68" s="28" t="s">
        <v>1042</v>
      </c>
      <c r="B68" s="58" t="s">
        <v>1043</v>
      </c>
      <c r="C68" s="66" t="n">
        <f aca="false">SUM(E68:P68)</f>
        <v>207.14</v>
      </c>
      <c r="D68" s="66" t="n">
        <f aca="false">SUM(Q68:AB68)</f>
        <v>57.4625069313615</v>
      </c>
      <c r="E68" s="67" t="n">
        <f aca="false">IF(E$5="A",Inputs_Actuals!E149,E66-E67)</f>
        <v>0.0599999999999454</v>
      </c>
      <c r="F68" s="67" t="n">
        <f aca="false">IF(F$5="A",Inputs_Actuals!F149,F66-F67)</f>
        <v>0.0600000000000023</v>
      </c>
      <c r="G68" s="67" t="n">
        <f aca="false">IF(G$5="A",Inputs_Actuals!G149,G66-G67)</f>
        <v>0.0550000000000068</v>
      </c>
      <c r="H68" s="67" t="n">
        <f aca="false">IF(H$5="A",Inputs_Actuals!H149,H66-H67)</f>
        <v>0.0499999999999545</v>
      </c>
      <c r="I68" s="67" t="n">
        <f aca="false">IF(I$5="A",Inputs_Actuals!I149,I66-I67)</f>
        <v>0.0849999999999795</v>
      </c>
      <c r="J68" s="67" t="n">
        <f aca="false">IF(J$5="A",Inputs_Actuals!J149,J66-J67)</f>
        <v>32.9400000000001</v>
      </c>
      <c r="K68" s="67" t="n">
        <f aca="false">IF(K$5="A",Inputs_Actuals!K149,K66-K67)</f>
        <v>106.52</v>
      </c>
      <c r="L68" s="67" t="n">
        <f aca="false">IF(L$5="A",Inputs_Actuals!L149,L66-L67)</f>
        <v>67.37</v>
      </c>
      <c r="M68" s="67" t="n">
        <f aca="false">IF(M$5="A",Inputs_Actuals!M149,M66-M67)</f>
        <v>0</v>
      </c>
      <c r="N68" s="67" t="n">
        <f aca="false">IF(N$5="A",Inputs_Actuals!N149,N66-N67)</f>
        <v>0</v>
      </c>
      <c r="O68" s="67" t="n">
        <f aca="false">IF(O$5="A",Inputs_Actuals!O149,O66-O67)</f>
        <v>0</v>
      </c>
      <c r="P68" s="67" t="n">
        <f aca="false">IF(P$5="A",Inputs_Actuals!P149,P66-P67)</f>
        <v>0</v>
      </c>
      <c r="Q68" s="67" t="n">
        <f aca="false">IF(Q$5="A",Inputs_Actuals!Q149,Q66-Q67)</f>
        <v>0</v>
      </c>
      <c r="R68" s="67" t="n">
        <f aca="false">IF(R$5="A",Inputs_Actuals!R149,R66-R67)</f>
        <v>0</v>
      </c>
      <c r="S68" s="67" t="n">
        <f aca="false">IF(S$5="A",Inputs_Actuals!S149,S66-S67)</f>
        <v>0</v>
      </c>
      <c r="T68" s="67" t="n">
        <f aca="false">IF(T$5="A",Inputs_Actuals!T149,T66-T67)</f>
        <v>0</v>
      </c>
      <c r="U68" s="67" t="n">
        <f aca="false">IF(U$5="A",Inputs_Actuals!U149,U66-U67)</f>
        <v>0</v>
      </c>
      <c r="V68" s="67" t="n">
        <f aca="false">IF(V$5="A",Inputs_Actuals!V149,V66-V67)</f>
        <v>0</v>
      </c>
      <c r="W68" s="67" t="n">
        <f aca="false">IF(W$5="A",Inputs_Actuals!W149,W66-W67)</f>
        <v>57.4625069313615</v>
      </c>
      <c r="X68" s="67" t="n">
        <f aca="false">IF(X$5="A",Inputs_Actuals!X149,X66-X67)</f>
        <v>0</v>
      </c>
      <c r="Y68" s="67" t="n">
        <f aca="false">IF(Y$5="A",Inputs_Actuals!Y149,Y66-Y67)</f>
        <v>0</v>
      </c>
      <c r="Z68" s="67" t="n">
        <f aca="false">IF(Z$5="A",Inputs_Actuals!Z149,Z66-Z67)</f>
        <v>0</v>
      </c>
      <c r="AA68" s="67" t="n">
        <f aca="false">IF(AA$5="A",Inputs_Actuals!AA149,AA66-AA67)</f>
        <v>0</v>
      </c>
      <c r="AB68" s="67" t="n">
        <f aca="false">IF(AB$5="A",Inputs_Actuals!AB149,AB66-AB67)</f>
        <v>0</v>
      </c>
    </row>
    <row r="69" customFormat="false" ht="15" hidden="false" customHeight="false" outlineLevel="0" collapsed="false">
      <c r="A69" s="28" t="s">
        <v>1044</v>
      </c>
      <c r="B69" s="58"/>
      <c r="C69" s="61" t="n">
        <f aca="false">IF(C65=0,0,C67/C65)</f>
        <v>0.749245571650725</v>
      </c>
      <c r="D69" s="61" t="n">
        <f aca="false">IF(D65=0,0,D67/D65)</f>
        <v>0.776745564854617</v>
      </c>
      <c r="E69" s="62" t="n">
        <f aca="false">IF(E65=0,0,E67/E65)</f>
        <v>0.643859649122807</v>
      </c>
      <c r="F69" s="62" t="n">
        <f aca="false">IF(F65=0,0,F67/F65)</f>
        <v>0.611415525114155</v>
      </c>
      <c r="G69" s="62" t="n">
        <f aca="false">IF(G65=0,0,G67/G65)</f>
        <v>0.604852320675105</v>
      </c>
      <c r="H69" s="62" t="n">
        <f aca="false">IF(H65=0,0,H67/H65)</f>
        <v>0.693555555555556</v>
      </c>
      <c r="I69" s="62" t="n">
        <f aca="false">IF(I65=0,0,I67/I65)</f>
        <v>0.769111111111111</v>
      </c>
      <c r="J69" s="62" t="n">
        <f aca="false">IF(J65=0,0,J67/J65)</f>
        <v>0.885265700483092</v>
      </c>
      <c r="K69" s="62" t="n">
        <f aca="false">IF(K65=0,0,K67/K65)</f>
        <v>0.883630952380952</v>
      </c>
      <c r="L69" s="62" t="n">
        <f aca="false">IF(L65=0,0,L67/L65)</f>
        <v>0.86421568627451</v>
      </c>
      <c r="M69" s="62" t="n">
        <f aca="false">IF(M65=0,0,M67/M65)</f>
        <v>0.860826638482342</v>
      </c>
      <c r="N69" s="62" t="n">
        <f aca="false">IF(N65=0,0,N67/N65)</f>
        <v>0.743583889461569</v>
      </c>
      <c r="O69" s="62" t="n">
        <f aca="false">IF(O65=0,0,O67/O65)</f>
        <v>0.716619385736389</v>
      </c>
      <c r="P69" s="62" t="n">
        <f aca="false">IF(P65=0,0,P67/P65)</f>
        <v>0.774898553102094</v>
      </c>
      <c r="Q69" s="62" t="n">
        <f aca="false">IF(Q65=0,0,Q67/Q65)</f>
        <v>0.651919967485902</v>
      </c>
      <c r="R69" s="62" t="n">
        <f aca="false">IF(R65=0,0,R67/R65)</f>
        <v>0.761720378070171</v>
      </c>
      <c r="S69" s="62" t="n">
        <f aca="false">IF(S65=0,0,S67/S65)</f>
        <v>0.765366193276953</v>
      </c>
      <c r="T69" s="62" t="n">
        <f aca="false">IF(T65=0,0,T67/T65)</f>
        <v>0.840467995608244</v>
      </c>
      <c r="U69" s="62" t="n">
        <f aca="false">IF(U65=0,0,U67/U65)</f>
        <v>0.834443538206235</v>
      </c>
      <c r="V69" s="62" t="n">
        <f aca="false">IF(V65=0,0,V67/V65)</f>
        <v>0.865922244271565</v>
      </c>
      <c r="W69" s="62" t="n">
        <f aca="false">IF(W65=0,0,W67/W65)</f>
        <v>0.88</v>
      </c>
      <c r="X69" s="62" t="n">
        <f aca="false">IF(X65=0,0,X67/X65)</f>
        <v>0.840136145122004</v>
      </c>
      <c r="Y69" s="62" t="n">
        <f aca="false">IF(Y65=0,0,Y67/Y65)</f>
        <v>0.679060110839407</v>
      </c>
      <c r="Z69" s="62" t="n">
        <f aca="false">IF(Z65=0,0,Z67/Z65)</f>
        <v>0.689985098039674</v>
      </c>
      <c r="AA69" s="62" t="n">
        <f aca="false">IF(AA65=0,0,AA67/AA65)</f>
        <v>0.735554450307539</v>
      </c>
      <c r="AB69" s="62" t="n">
        <f aca="false">IF(AB65=0,0,AB67/AB65)</f>
        <v>0.843828503011019</v>
      </c>
    </row>
    <row r="70" customFormat="false" ht="15" hidden="false" customHeight="false" outlineLevel="0" collapsed="false">
      <c r="A70" s="28" t="s">
        <v>1045</v>
      </c>
      <c r="B70" s="58" t="s">
        <v>1046</v>
      </c>
      <c r="C70" s="59" t="n">
        <f aca="false">SUM(E70:P70)</f>
        <v>390802.109005754</v>
      </c>
      <c r="D70" s="59" t="n">
        <f aca="false">SUM(Q70:AB70)</f>
        <v>405812.491549833</v>
      </c>
      <c r="E70" s="60" t="n">
        <f aca="false">E66*Assumptions!$C$39*E72</f>
        <v>27897.7</v>
      </c>
      <c r="F70" s="60" t="n">
        <f aca="false">F66*Assumptions!$C$39*F72</f>
        <v>25446.7</v>
      </c>
      <c r="G70" s="60" t="n">
        <f aca="false">G66*Assumptions!$C$39*G72</f>
        <v>27241.725</v>
      </c>
      <c r="H70" s="60" t="n">
        <f aca="false">H66*Assumptions!$C$39*H72</f>
        <v>29654.25</v>
      </c>
      <c r="I70" s="60" t="n">
        <f aca="false">I66*Assumptions!$C$39*I72</f>
        <v>32887.575</v>
      </c>
      <c r="J70" s="60" t="n">
        <f aca="false">J66*Assumptions!$C$39*J72</f>
        <v>37946.8</v>
      </c>
      <c r="K70" s="60" t="n">
        <f aca="false">K66*Assumptions!$C$39*K72</f>
        <v>38324.9</v>
      </c>
      <c r="L70" s="60" t="n">
        <f aca="false">L66*Assumptions!$C$39*L72</f>
        <v>39897.15</v>
      </c>
      <c r="M70" s="60" t="n">
        <f aca="false">M66*Assumptions!$C$39*M72</f>
        <v>38763.0235308599</v>
      </c>
      <c r="N70" s="60" t="n">
        <f aca="false">N66*Assumptions!$C$39*N72</f>
        <v>34755.1109934337</v>
      </c>
      <c r="O70" s="60" t="n">
        <f aca="false">O66*Assumptions!$C$39*O72</f>
        <v>31043.9517901004</v>
      </c>
      <c r="P70" s="60" t="n">
        <f aca="false">P66*Assumptions!$C$39*P72</f>
        <v>26943.2226913598</v>
      </c>
      <c r="Q70" s="60" t="n">
        <f aca="false">Q66*Assumptions!$C$39*Q72</f>
        <v>29370.8199111488</v>
      </c>
      <c r="R70" s="60" t="n">
        <f aca="false">R66*Assumptions!$C$39*R72</f>
        <v>32962.9923287598</v>
      </c>
      <c r="S70" s="60" t="n">
        <f aca="false">S66*Assumptions!$C$39*S72</f>
        <v>35843.0172705916</v>
      </c>
      <c r="T70" s="60" t="n">
        <f aca="false">T66*Assumptions!$C$39*T72</f>
        <v>37367.2070847425</v>
      </c>
      <c r="U70" s="60" t="n">
        <f aca="false">U66*Assumptions!$C$39*U72</f>
        <v>37099.3597086492</v>
      </c>
      <c r="V70" s="60" t="n">
        <f aca="false">V66*Assumptions!$C$39*V72</f>
        <v>35418.9907418887</v>
      </c>
      <c r="W70" s="60" t="n">
        <f aca="false">W66*Assumptions!$C$39*W72</f>
        <v>34890.4796848185</v>
      </c>
      <c r="X70" s="60" t="n">
        <f aca="false">X66*Assumptions!$C$39*X72</f>
        <v>33866.224064326</v>
      </c>
      <c r="Y70" s="60" t="n">
        <f aca="false">Y66*Assumptions!$C$39*Y72</f>
        <v>31801.1998627424</v>
      </c>
      <c r="Z70" s="60" t="n">
        <f aca="false">Z66*Assumptions!$C$39*Z72</f>
        <v>33539.8996216694</v>
      </c>
      <c r="AA70" s="60" t="n">
        <f aca="false">AA66*Assumptions!$C$39*AA72</f>
        <v>33138.7875388155</v>
      </c>
      <c r="AB70" s="60" t="n">
        <f aca="false">AB66*Assumptions!$C$39*AB72</f>
        <v>30513.5137316809</v>
      </c>
    </row>
    <row r="71" customFormat="false" ht="15" hidden="false" customHeight="false" outlineLevel="0" collapsed="false">
      <c r="A71" s="22" t="s">
        <v>1052</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row>
    <row r="72" customFormat="false" ht="15" hidden="false" customHeight="false" outlineLevel="0" collapsed="false">
      <c r="A72" s="28" t="s">
        <v>1053</v>
      </c>
      <c r="B72" s="58"/>
      <c r="C72" s="115" t="n">
        <f aca="false">AVERAGE(E72:P72)</f>
        <v>1</v>
      </c>
      <c r="D72" s="115" t="n">
        <f aca="false">AVERAGE(Q72:AB72)</f>
        <v>1.04</v>
      </c>
      <c r="E72" s="112" t="n">
        <f aca="false">IF(Assumptions!E$101&gt;YEAR(Assumptions!$C$8),1+Assumptions!$F$122,1)</f>
        <v>1</v>
      </c>
      <c r="F72" s="112" t="n">
        <f aca="false">IF(Assumptions!F$101&gt;YEAR(Assumptions!$C$8),1+Assumptions!$F$122,1)</f>
        <v>1</v>
      </c>
      <c r="G72" s="112" t="n">
        <f aca="false">IF(Assumptions!G$101&gt;YEAR(Assumptions!$C$8),1+Assumptions!$F$122,1)</f>
        <v>1</v>
      </c>
      <c r="H72" s="112" t="n">
        <f aca="false">IF(Assumptions!H$101&gt;YEAR(Assumptions!$C$8),1+Assumptions!$F$122,1)</f>
        <v>1</v>
      </c>
      <c r="I72" s="112" t="n">
        <f aca="false">IF(Assumptions!I$101&gt;YEAR(Assumptions!$C$8),1+Assumptions!$F$122,1)</f>
        <v>1</v>
      </c>
      <c r="J72" s="112" t="n">
        <f aca="false">IF(Assumptions!J$101&gt;YEAR(Assumptions!$C$8),1+Assumptions!$F$122,1)</f>
        <v>1</v>
      </c>
      <c r="K72" s="112" t="n">
        <f aca="false">IF(Assumptions!K$101&gt;YEAR(Assumptions!$C$8),1+Assumptions!$F$122,1)</f>
        <v>1</v>
      </c>
      <c r="L72" s="112" t="n">
        <f aca="false">IF(Assumptions!L$101&gt;YEAR(Assumptions!$C$8),1+Assumptions!$F$122,1)</f>
        <v>1</v>
      </c>
      <c r="M72" s="112" t="n">
        <f aca="false">IF(Assumptions!M$101&gt;YEAR(Assumptions!$C$8),1+Assumptions!$F$122,1)</f>
        <v>1</v>
      </c>
      <c r="N72" s="112" t="n">
        <f aca="false">IF(Assumptions!N$101&gt;YEAR(Assumptions!$C$8),1+Assumptions!$F$122,1)</f>
        <v>1</v>
      </c>
      <c r="O72" s="112" t="n">
        <f aca="false">IF(Assumptions!O$101&gt;YEAR(Assumptions!$C$8),1+Assumptions!$F$122,1)</f>
        <v>1</v>
      </c>
      <c r="P72" s="112" t="n">
        <f aca="false">IF(Assumptions!P$101&gt;YEAR(Assumptions!$C$8),1+Assumptions!$F$122,1)</f>
        <v>1</v>
      </c>
      <c r="Q72" s="112" t="n">
        <f aca="false">IF(Assumptions!Q$101&gt;YEAR(Assumptions!$C$8),1+Assumptions!$F$122,1)</f>
        <v>1.04</v>
      </c>
      <c r="R72" s="112" t="n">
        <f aca="false">IF(Assumptions!R$101&gt;YEAR(Assumptions!$C$8),1+Assumptions!$F$122,1)</f>
        <v>1.04</v>
      </c>
      <c r="S72" s="112" t="n">
        <f aca="false">IF(Assumptions!S$101&gt;YEAR(Assumptions!$C$8),1+Assumptions!$F$122,1)</f>
        <v>1.04</v>
      </c>
      <c r="T72" s="112" t="n">
        <f aca="false">IF(Assumptions!T$101&gt;YEAR(Assumptions!$C$8),1+Assumptions!$F$122,1)</f>
        <v>1.04</v>
      </c>
      <c r="U72" s="112" t="n">
        <f aca="false">IF(Assumptions!U$101&gt;YEAR(Assumptions!$C$8),1+Assumptions!$F$122,1)</f>
        <v>1.04</v>
      </c>
      <c r="V72" s="112" t="n">
        <f aca="false">IF(Assumptions!V$101&gt;YEAR(Assumptions!$C$8),1+Assumptions!$F$122,1)</f>
        <v>1.04</v>
      </c>
      <c r="W72" s="112" t="n">
        <f aca="false">IF(Assumptions!W$101&gt;YEAR(Assumptions!$C$8),1+Assumptions!$F$122,1)</f>
        <v>1.04</v>
      </c>
      <c r="X72" s="112" t="n">
        <f aca="false">IF(Assumptions!X$101&gt;YEAR(Assumptions!$C$8),1+Assumptions!$F$122,1)</f>
        <v>1.04</v>
      </c>
      <c r="Y72" s="112" t="n">
        <f aca="false">IF(Assumptions!Y$101&gt;YEAR(Assumptions!$C$8),1+Assumptions!$F$122,1)</f>
        <v>1.04</v>
      </c>
      <c r="Z72" s="112" t="n">
        <f aca="false">IF(Assumptions!Z$101&gt;YEAR(Assumptions!$C$8),1+Assumptions!$F$122,1)</f>
        <v>1.04</v>
      </c>
      <c r="AA72" s="112" t="n">
        <f aca="false">IF(Assumptions!AA$101&gt;YEAR(Assumptions!$C$8),1+Assumptions!$F$122,1)</f>
        <v>1.04</v>
      </c>
      <c r="AB72" s="112" t="n">
        <f aca="false">IF(Assumptions!AB$101&gt;YEAR(Assumptions!$C$8),1+Assumptions!$F$122,1)</f>
        <v>1.04</v>
      </c>
    </row>
    <row r="73" customFormat="false" ht="15" hidden="false" customHeight="false" outlineLevel="0" collapsed="false">
      <c r="A73" s="68" t="s">
        <v>1054</v>
      </c>
      <c r="B73" s="69"/>
      <c r="C73" s="114" t="n">
        <f aca="false">P73</f>
        <v>35</v>
      </c>
      <c r="D73" s="114" t="n">
        <f aca="false">AB73</f>
        <v>35.85</v>
      </c>
      <c r="E73" s="114" t="n">
        <f aca="false">E24+E32+E40+E48+E56+E64</f>
        <v>33</v>
      </c>
      <c r="F73" s="114" t="n">
        <f aca="false">F24+F32+F40+F48+F56+F64</f>
        <v>33</v>
      </c>
      <c r="G73" s="114" t="n">
        <f aca="false">G24+G32+G40+G48+G56+G64</f>
        <v>33</v>
      </c>
      <c r="H73" s="114" t="n">
        <f aca="false">H24+H32+H40+H48+H56+H64</f>
        <v>34</v>
      </c>
      <c r="I73" s="114" t="n">
        <f aca="false">I24+I32+I40+I48+I56+I64</f>
        <v>32</v>
      </c>
      <c r="J73" s="114" t="n">
        <f aca="false">J24+J32+J40+J48+J56+J64</f>
        <v>32</v>
      </c>
      <c r="K73" s="114" t="n">
        <f aca="false">K24+K32+K40+K48+K56+K64</f>
        <v>33</v>
      </c>
      <c r="L73" s="114" t="n">
        <f aca="false">L24+L32+L40+L48+L56+L64</f>
        <v>33</v>
      </c>
      <c r="M73" s="114" t="n">
        <f aca="false">M24+M32+M40+M48+M56+M64</f>
        <v>33</v>
      </c>
      <c r="N73" s="114" t="n">
        <f aca="false">N24+N32+N40+N48+N56+N64</f>
        <v>34</v>
      </c>
      <c r="O73" s="114" t="n">
        <f aca="false">O24+O32+O40+O48+O56+O64</f>
        <v>35</v>
      </c>
      <c r="P73" s="114" t="n">
        <f aca="false">P24+P32+P40+P48+P56+P64</f>
        <v>35</v>
      </c>
      <c r="Q73" s="114" t="n">
        <f aca="false">Q24+Q32+Q40+Q48+Q56+Q64</f>
        <v>35.45</v>
      </c>
      <c r="R73" s="114" t="n">
        <f aca="false">R24+R32+R40+R48+R56+R64</f>
        <v>35.45</v>
      </c>
      <c r="S73" s="114" t="n">
        <f aca="false">S24+S32+S40+S48+S56+S64</f>
        <v>35.85</v>
      </c>
      <c r="T73" s="114" t="n">
        <f aca="false">T24+T32+T40+T48+T56+T64</f>
        <v>35.85</v>
      </c>
      <c r="U73" s="114" t="n">
        <f aca="false">U24+U32+U40+U48+U56+U64</f>
        <v>35.85</v>
      </c>
      <c r="V73" s="114" t="n">
        <f aca="false">V24+V32+V40+V48+V56+V64</f>
        <v>35.85</v>
      </c>
      <c r="W73" s="114" t="n">
        <f aca="false">W24+W32+W40+W48+W56+W64</f>
        <v>35.85</v>
      </c>
      <c r="X73" s="114" t="n">
        <f aca="false">X24+X32+X40+X48+X56+X64</f>
        <v>35.85</v>
      </c>
      <c r="Y73" s="114" t="n">
        <f aca="false">Y24+Y32+Y40+Y48+Y56+Y64</f>
        <v>35.85</v>
      </c>
      <c r="Z73" s="114" t="n">
        <f aca="false">Z24+Z32+Z40+Z48+Z56+Z64</f>
        <v>35.85</v>
      </c>
      <c r="AA73" s="114" t="n">
        <f aca="false">AA24+AA32+AA40+AA48+AA56+AA64</f>
        <v>35.85</v>
      </c>
      <c r="AB73" s="114" t="n">
        <f aca="false">AB24+AB32+AB40+AB48+AB56+AB64</f>
        <v>35.85</v>
      </c>
    </row>
    <row r="74" customFormat="false" ht="15" hidden="false" customHeight="false" outlineLevel="0" collapsed="false">
      <c r="A74" s="28" t="s">
        <v>1036</v>
      </c>
      <c r="B74" s="58"/>
      <c r="C74" s="66" t="n">
        <f aca="false">SUM(E74:P74)</f>
        <v>57928</v>
      </c>
      <c r="D74" s="66" t="n">
        <f aca="false">SUM(Q74:AB74)</f>
        <v>62188.1</v>
      </c>
      <c r="E74" s="72" t="n">
        <f aca="false">E25+E33+E41+E49+E57+E65</f>
        <v>5016</v>
      </c>
      <c r="F74" s="72" t="n">
        <f aca="false">F25+F33+F41+F49+F57+F65</f>
        <v>4818</v>
      </c>
      <c r="G74" s="72" t="n">
        <f aca="false">G25+G33+G41+G49+G57+G65</f>
        <v>5214</v>
      </c>
      <c r="H74" s="72" t="n">
        <f aca="false">H25+H33+H41+H49+H57+H65</f>
        <v>5100</v>
      </c>
      <c r="I74" s="72" t="n">
        <f aca="false">I25+I33+I41+I49+I57+I65</f>
        <v>4800</v>
      </c>
      <c r="J74" s="72" t="n">
        <f aca="false">J25+J33+J41+J49+J57+J65</f>
        <v>4416</v>
      </c>
      <c r="K74" s="72" t="n">
        <f aca="false">K25+K33+K41+K49+K57+K65</f>
        <v>3696</v>
      </c>
      <c r="L74" s="72" t="n">
        <f aca="false">L25+L33+L41+L49+L57+L65</f>
        <v>4488</v>
      </c>
      <c r="M74" s="72" t="n">
        <f aca="false">M25+M33+M41+M49+M57+M65</f>
        <v>5214</v>
      </c>
      <c r="N74" s="72" t="n">
        <f aca="false">N25+N33+N41+N49+N57+N65</f>
        <v>5576</v>
      </c>
      <c r="O74" s="72" t="n">
        <f aca="false">O25+O33+O41+O49+O57+O65</f>
        <v>5320</v>
      </c>
      <c r="P74" s="72" t="n">
        <f aca="false">P25+P33+P41+P49+P57+P65</f>
        <v>4270</v>
      </c>
      <c r="Q74" s="72" t="n">
        <f aca="false">Q25+Q33+Q41+Q49+Q57+Q65</f>
        <v>5388.4</v>
      </c>
      <c r="R74" s="72" t="n">
        <f aca="false">R25+R33+R41+R49+R57+R65</f>
        <v>5175.7</v>
      </c>
      <c r="S74" s="72" t="n">
        <f aca="false">S25+S33+S41+S49+S57+S65</f>
        <v>5664.3</v>
      </c>
      <c r="T74" s="72" t="n">
        <f aca="false">T25+T33+T41+T49+T57+T65</f>
        <v>5377.5</v>
      </c>
      <c r="U74" s="72" t="n">
        <f aca="false">U25+U33+U41+U49+U57+U65</f>
        <v>5377.5</v>
      </c>
      <c r="V74" s="72" t="n">
        <f aca="false">V25+V33+V41+V49+V57+V65</f>
        <v>4947.3</v>
      </c>
      <c r="W74" s="72" t="n">
        <f aca="false">W25+W33+W41+W49+W57+W65</f>
        <v>4015.2</v>
      </c>
      <c r="X74" s="72" t="n">
        <f aca="false">X25+X33+X41+X49+X57+X65</f>
        <v>4875.6</v>
      </c>
      <c r="Y74" s="72" t="n">
        <f aca="false">Y25+Y33+Y41+Y49+Y57+Y65</f>
        <v>5664.3</v>
      </c>
      <c r="Z74" s="72" t="n">
        <f aca="false">Z25+Z33+Z41+Z49+Z57+Z65</f>
        <v>5879.4</v>
      </c>
      <c r="AA74" s="72" t="n">
        <f aca="false">AA25+AA33+AA41+AA49+AA57+AA65</f>
        <v>5449.2</v>
      </c>
      <c r="AB74" s="72" t="n">
        <f aca="false">AB25+AB33+AB41+AB49+AB57+AB65</f>
        <v>4373.7</v>
      </c>
    </row>
    <row r="75" customFormat="false" ht="15" hidden="false" customHeight="false" outlineLevel="0" collapsed="false">
      <c r="A75" s="28" t="s">
        <v>1038</v>
      </c>
      <c r="B75" s="58"/>
      <c r="C75" s="66" t="n">
        <f aca="false">SUM(E75:P75)</f>
        <v>42384.8581336466</v>
      </c>
      <c r="D75" s="66" t="n">
        <f aca="false">SUM(Q75:AB75)</f>
        <v>42620.5396055556</v>
      </c>
      <c r="E75" s="72" t="n">
        <f aca="false">E26+E34+E42+E50+E58+E66</f>
        <v>3133.3</v>
      </c>
      <c r="F75" s="72" t="n">
        <f aca="false">F26+F34+F42+F50+F58+F66</f>
        <v>2928.7</v>
      </c>
      <c r="G75" s="72" t="n">
        <f aca="false">G26+G34+G42+G50+G58+G66</f>
        <v>3104.4</v>
      </c>
      <c r="H75" s="72" t="n">
        <f aca="false">H26+H34+H42+H50+H58+H66</f>
        <v>3337.6</v>
      </c>
      <c r="I75" s="72" t="n">
        <f aca="false">I26+I34+I42+I50+I58+I66</f>
        <v>3567.8</v>
      </c>
      <c r="J75" s="72" t="n">
        <f aca="false">J26+J34+J42+J50+J58+J66</f>
        <v>3958.1</v>
      </c>
      <c r="K75" s="72" t="n">
        <f aca="false">K26+K34+K42+K50+K58+K66</f>
        <v>3969.1</v>
      </c>
      <c r="L75" s="72" t="n">
        <f aca="false">L26+L34+L42+L50+L58+L66</f>
        <v>4109.4</v>
      </c>
      <c r="M75" s="72" t="n">
        <f aca="false">M26+M34+M42+M50+M58+M66</f>
        <v>4015.92167507895</v>
      </c>
      <c r="N75" s="72" t="n">
        <f aca="false">N26+N34+N42+N50+N58+N66</f>
        <v>3710.02298488568</v>
      </c>
      <c r="O75" s="72" t="n">
        <f aca="false">O26+O34+O42+O50+O58+O66</f>
        <v>3436.05796377275</v>
      </c>
      <c r="P75" s="72" t="n">
        <f aca="false">P26+P34+P42+P50+P58+P66</f>
        <v>3114.45550990922</v>
      </c>
      <c r="Q75" s="72" t="n">
        <f aca="false">Q26+Q34+Q42+Q50+Q58+Q66</f>
        <v>3246.27046145793</v>
      </c>
      <c r="R75" s="72" t="n">
        <f aca="false">R26+R34+R42+R50+R58+R66</f>
        <v>3481.89086610689</v>
      </c>
      <c r="S75" s="72" t="n">
        <f aca="false">S26+S34+S42+S50+S58+S66</f>
        <v>3701.97682921477</v>
      </c>
      <c r="T75" s="72" t="n">
        <f aca="false">T26+T34+T42+T50+T58+T66</f>
        <v>3797.64488940592</v>
      </c>
      <c r="U75" s="72" t="n">
        <f aca="false">U26+U34+U42+U50+U58+U66</f>
        <v>3779.5715171999</v>
      </c>
      <c r="V75" s="72" t="n">
        <f aca="false">V26+V34+V42+V50+V58+V66</f>
        <v>3672.28033378644</v>
      </c>
      <c r="W75" s="72" t="n">
        <f aca="false">W26+W34+W42+W50+W58+W66</f>
        <v>3593.88713545118</v>
      </c>
      <c r="X75" s="72" t="n">
        <f aca="false">X26+X34+X42+X50+X58+X66</f>
        <v>3551.83966327584</v>
      </c>
      <c r="Y75" s="72" t="n">
        <f aca="false">Y26+Y34+Y42+Y50+Y58+Y66</f>
        <v>3437.30942537879</v>
      </c>
      <c r="Z75" s="72" t="n">
        <f aca="false">Z26+Z34+Z42+Z50+Z58+Z66</f>
        <v>3550.0137448552</v>
      </c>
      <c r="AA75" s="72" t="n">
        <f aca="false">AA26+AA34+AA42+AA50+AA58+AA66</f>
        <v>3509.41535590238</v>
      </c>
      <c r="AB75" s="72" t="n">
        <f aca="false">AB26+AB34+AB42+AB50+AB58+AB66</f>
        <v>3298.43938352033</v>
      </c>
    </row>
    <row r="76" customFormat="false" ht="15" hidden="false" customHeight="false" outlineLevel="0" collapsed="false">
      <c r="A76" s="28" t="s">
        <v>1040</v>
      </c>
      <c r="B76" s="58"/>
      <c r="C76" s="66" t="n">
        <f aca="false">SUM(E76:P76)</f>
        <v>40770.2588639771</v>
      </c>
      <c r="D76" s="66" t="n">
        <f aca="false">SUM(Q76:AB76)</f>
        <v>42393.9562652003</v>
      </c>
      <c r="E76" s="72" t="n">
        <f aca="false">E27+E35+E43+E51+E59+E67</f>
        <v>3133</v>
      </c>
      <c r="F76" s="72" t="n">
        <f aca="false">F27+F35+F43+F51+F59+F67</f>
        <v>2928.4</v>
      </c>
      <c r="G76" s="72" t="n">
        <f aca="false">G27+G35+G43+G51+G59+G67</f>
        <v>3104.1</v>
      </c>
      <c r="H76" s="72" t="n">
        <f aca="false">H27+H35+H43+H51+H59+H67</f>
        <v>3337.3</v>
      </c>
      <c r="I76" s="72" t="n">
        <f aca="false">I27+I35+I43+I51+I59+I67</f>
        <v>3567.5</v>
      </c>
      <c r="J76" s="72" t="n">
        <f aca="false">J27+J35+J43+J51+J59+J67</f>
        <v>3643.3</v>
      </c>
      <c r="K76" s="72" t="n">
        <f aca="false">K27+K35+K43+K51+K59+K67</f>
        <v>3166.1</v>
      </c>
      <c r="L76" s="72" t="n">
        <f aca="false">L27+L35+L43+L51+L59+L67</f>
        <v>3695.8</v>
      </c>
      <c r="M76" s="72" t="n">
        <f aca="false">M27+M35+M43+M51+M59+M67</f>
        <v>3934.22240540943</v>
      </c>
      <c r="N76" s="72" t="n">
        <f aca="false">N27+N35+N43+N51+N59+N67</f>
        <v>3710.02298488568</v>
      </c>
      <c r="O76" s="72" t="n">
        <f aca="false">O27+O35+O43+O51+O59+O67</f>
        <v>3436.05796377275</v>
      </c>
      <c r="P76" s="72" t="n">
        <f aca="false">P27+P35+P43+P51+P59+P67</f>
        <v>3114.45550990922</v>
      </c>
      <c r="Q76" s="72" t="n">
        <f aca="false">Q27+Q35+Q43+Q51+Q59+Q67</f>
        <v>3246.27046145793</v>
      </c>
      <c r="R76" s="72" t="n">
        <f aca="false">R27+R35+R43+R51+R59+R67</f>
        <v>3481.89086610689</v>
      </c>
      <c r="S76" s="72" t="n">
        <f aca="false">S27+S35+S43+S51+S59+S67</f>
        <v>3701.97682921477</v>
      </c>
      <c r="T76" s="72" t="n">
        <f aca="false">T27+T35+T43+T51+T59+T67</f>
        <v>3797.64488940592</v>
      </c>
      <c r="U76" s="72" t="n">
        <f aca="false">U27+U35+U43+U51+U59+U67</f>
        <v>3779.5715171999</v>
      </c>
      <c r="V76" s="72" t="n">
        <f aca="false">V27+V35+V43+V51+V59+V67</f>
        <v>3672.28033378644</v>
      </c>
      <c r="W76" s="72" t="n">
        <f aca="false">W27+W35+W43+W51+W59+W67</f>
        <v>3367.3037950959</v>
      </c>
      <c r="X76" s="72" t="n">
        <f aca="false">X27+X35+X43+X51+X59+X67</f>
        <v>3551.83966327584</v>
      </c>
      <c r="Y76" s="72" t="n">
        <f aca="false">Y27+Y35+Y43+Y51+Y59+Y67</f>
        <v>3437.30942537879</v>
      </c>
      <c r="Z76" s="72" t="n">
        <f aca="false">Z27+Z35+Z43+Z51+Z59+Z67</f>
        <v>3550.0137448552</v>
      </c>
      <c r="AA76" s="72" t="n">
        <f aca="false">AA27+AA35+AA43+AA51+AA59+AA67</f>
        <v>3509.41535590238</v>
      </c>
      <c r="AB76" s="72" t="n">
        <f aca="false">AB27+AB35+AB43+AB51+AB59+AB67</f>
        <v>3298.43938352033</v>
      </c>
    </row>
    <row r="77" customFormat="false" ht="15" hidden="false" customHeight="false" outlineLevel="0" collapsed="false">
      <c r="A77" s="28" t="s">
        <v>1042</v>
      </c>
      <c r="B77" s="58"/>
      <c r="C77" s="66" t="n">
        <f aca="false">SUM(E77:P77)</f>
        <v>1614.59926966952</v>
      </c>
      <c r="D77" s="66" t="n">
        <f aca="false">SUM(Q77:AB77)</f>
        <v>226.583340355282</v>
      </c>
      <c r="E77" s="72" t="n">
        <f aca="false">E28+E36+E44+E52+E60+E68</f>
        <v>0.299999999999727</v>
      </c>
      <c r="F77" s="72" t="n">
        <f aca="false">F28+F36+F44+F52+F60+F68</f>
        <v>0.299999999999955</v>
      </c>
      <c r="G77" s="72" t="n">
        <f aca="false">G28+G36+G44+G52+G60+G68</f>
        <v>0.299999999999898</v>
      </c>
      <c r="H77" s="72" t="n">
        <f aca="false">H28+H36+H44+H52+H60+H68</f>
        <v>0.299999999999841</v>
      </c>
      <c r="I77" s="72" t="n">
        <f aca="false">I28+I36+I44+I52+I60+I68</f>
        <v>0.300000000000125</v>
      </c>
      <c r="J77" s="72" t="n">
        <f aca="false">J28+J36+J44+J52+J60+J68</f>
        <v>314.8</v>
      </c>
      <c r="K77" s="72" t="n">
        <f aca="false">K28+K36+K44+K52+K60+K68</f>
        <v>803</v>
      </c>
      <c r="L77" s="72" t="n">
        <f aca="false">L28+L36+L44+L52+L60+L68</f>
        <v>413.6</v>
      </c>
      <c r="M77" s="72" t="n">
        <f aca="false">M28+M36+M44+M52+M60+M68</f>
        <v>81.6992696695218</v>
      </c>
      <c r="N77" s="72" t="n">
        <f aca="false">N28+N36+N44+N52+N60+N68</f>
        <v>0</v>
      </c>
      <c r="O77" s="72" t="n">
        <f aca="false">O28+O36+O44+O52+O60+O68</f>
        <v>0</v>
      </c>
      <c r="P77" s="72" t="n">
        <f aca="false">P28+P36+P44+P52+P60+P68</f>
        <v>0</v>
      </c>
      <c r="Q77" s="72" t="n">
        <f aca="false">Q28+Q36+Q44+Q52+Q60+Q68</f>
        <v>0</v>
      </c>
      <c r="R77" s="72" t="n">
        <f aca="false">R28+R36+R44+R52+R60+R68</f>
        <v>0</v>
      </c>
      <c r="S77" s="72" t="n">
        <f aca="false">S28+S36+S44+S52+S60+S68</f>
        <v>0</v>
      </c>
      <c r="T77" s="72" t="n">
        <f aca="false">T28+T36+T44+T52+T60+T68</f>
        <v>0</v>
      </c>
      <c r="U77" s="72" t="n">
        <f aca="false">U28+U36+U44+U52+U60+U68</f>
        <v>0</v>
      </c>
      <c r="V77" s="72" t="n">
        <f aca="false">V28+V36+V44+V52+V60+V68</f>
        <v>0</v>
      </c>
      <c r="W77" s="72" t="n">
        <f aca="false">W28+W36+W44+W52+W60+W68</f>
        <v>226.583340355282</v>
      </c>
      <c r="X77" s="72" t="n">
        <f aca="false">X28+X36+X44+X52+X60+X68</f>
        <v>0</v>
      </c>
      <c r="Y77" s="72" t="n">
        <f aca="false">Y28+Y36+Y44+Y52+Y60+Y68</f>
        <v>0</v>
      </c>
      <c r="Z77" s="72" t="n">
        <f aca="false">Z28+Z36+Z44+Z52+Z60+Z68</f>
        <v>0</v>
      </c>
      <c r="AA77" s="72" t="n">
        <f aca="false">AA28+AA36+AA44+AA52+AA60+AA68</f>
        <v>0</v>
      </c>
      <c r="AB77" s="72" t="n">
        <f aca="false">AB28+AB36+AB44+AB52+AB60+AB68</f>
        <v>0</v>
      </c>
    </row>
    <row r="78" customFormat="false" ht="15" hidden="false" customHeight="false" outlineLevel="0" collapsed="false">
      <c r="A78" s="68" t="s">
        <v>1055</v>
      </c>
      <c r="B78" s="69"/>
      <c r="C78" s="75" t="n">
        <f aca="false">IF(C74=0,0,C76/C74)</f>
        <v>0.703809191823938</v>
      </c>
      <c r="D78" s="75" t="n">
        <f aca="false">IF(D74=0,0,D76/D74)</f>
        <v>0.681705282283914</v>
      </c>
      <c r="E78" s="75" t="n">
        <f aca="false">IF(E74=0,0,E76/E74)</f>
        <v>0.624601275917065</v>
      </c>
      <c r="F78" s="75" t="n">
        <f aca="false">IF(F74=0,0,F76/F74)</f>
        <v>0.607804068078041</v>
      </c>
      <c r="G78" s="75" t="n">
        <f aca="false">IF(G74=0,0,G76/G74)</f>
        <v>0.595339470655926</v>
      </c>
      <c r="H78" s="75" t="n">
        <f aca="false">IF(H74=0,0,H76/H74)</f>
        <v>0.654372549019608</v>
      </c>
      <c r="I78" s="75" t="n">
        <f aca="false">IF(I74=0,0,I76/I74)</f>
        <v>0.743229166666667</v>
      </c>
      <c r="J78" s="75" t="n">
        <f aca="false">IF(J74=0,0,J76/J74)</f>
        <v>0.825022644927536</v>
      </c>
      <c r="K78" s="75" t="n">
        <f aca="false">IF(K74=0,0,K76/K74)</f>
        <v>0.856628787878788</v>
      </c>
      <c r="L78" s="75" t="n">
        <f aca="false">IF(L74=0,0,L76/L74)</f>
        <v>0.823484848484848</v>
      </c>
      <c r="M78" s="75" t="n">
        <f aca="false">IF(M74=0,0,M76/M74)</f>
        <v>0.754549751708751</v>
      </c>
      <c r="N78" s="75" t="n">
        <f aca="false">IF(N74=0,0,N76/N74)</f>
        <v>0.665355628566298</v>
      </c>
      <c r="O78" s="75" t="n">
        <f aca="false">IF(O74=0,0,O76/O74)</f>
        <v>0.645875557100141</v>
      </c>
      <c r="P78" s="75" t="n">
        <f aca="false">IF(P74=0,0,P76/P74)</f>
        <v>0.729380681477569</v>
      </c>
      <c r="Q78" s="75" t="n">
        <f aca="false">IF(Q74=0,0,Q76/Q74)</f>
        <v>0.602455359932064</v>
      </c>
      <c r="R78" s="75" t="n">
        <f aca="false">IF(R74=0,0,R76/R74)</f>
        <v>0.67273815447319</v>
      </c>
      <c r="S78" s="75" t="n">
        <f aca="false">IF(S74=0,0,S76/S74)</f>
        <v>0.653562987344379</v>
      </c>
      <c r="T78" s="75" t="n">
        <f aca="false">IF(T74=0,0,T76/T74)</f>
        <v>0.706210114254937</v>
      </c>
      <c r="U78" s="75" t="n">
        <f aca="false">IF(U74=0,0,U76/U74)</f>
        <v>0.702849189623412</v>
      </c>
      <c r="V78" s="75" t="n">
        <f aca="false">IF(V74=0,0,V76/V74)</f>
        <v>0.742279694739845</v>
      </c>
      <c r="W78" s="75" t="n">
        <f aca="false">IF(W74=0,0,W76/W74)</f>
        <v>0.838639120117528</v>
      </c>
      <c r="X78" s="75" t="n">
        <f aca="false">IF(X74=0,0,X76/X74)</f>
        <v>0.728492834374402</v>
      </c>
      <c r="Y78" s="75" t="n">
        <f aca="false">IF(Y74=0,0,Y76/Y74)</f>
        <v>0.60683746012372</v>
      </c>
      <c r="Z78" s="75" t="n">
        <f aca="false">IF(Z74=0,0,Z76/Z74)</f>
        <v>0.603805446959757</v>
      </c>
      <c r="AA78" s="75" t="n">
        <f aca="false">IF(AA74=0,0,AA76/AA74)</f>
        <v>0.644023958728323</v>
      </c>
      <c r="AB78" s="75" t="n">
        <f aca="false">IF(AB74=0,0,AB76/AB74)</f>
        <v>0.754153093152327</v>
      </c>
    </row>
    <row r="79" customFormat="false" ht="15" hidden="false" customHeight="false" outlineLevel="0" collapsed="false">
      <c r="A79" s="28" t="s">
        <v>1056</v>
      </c>
      <c r="B79" s="58"/>
      <c r="C79" s="59" t="n">
        <f aca="false">SUM(E79:P79)</f>
        <v>4532702.56136085</v>
      </c>
      <c r="D79" s="59" t="n">
        <f aca="false">SUM(Q79:AB79)</f>
        <v>4748140.88812628</v>
      </c>
      <c r="E79" s="71" t="n">
        <f aca="false">E30+E38+E46+E54+E62+E70</f>
        <v>334161.655</v>
      </c>
      <c r="F79" s="71" t="n">
        <f aca="false">F30+F38+F46+F54+F62+F70</f>
        <v>312028.455</v>
      </c>
      <c r="G79" s="71" t="n">
        <f aca="false">G30+G38+G46+G54+G62+G70</f>
        <v>331188.96</v>
      </c>
      <c r="H79" s="71" t="n">
        <f aca="false">H30+H38+H46+H54+H62+H70</f>
        <v>357021.64</v>
      </c>
      <c r="I79" s="71" t="n">
        <f aca="false">I30+I38+I46+I54+I62+I70</f>
        <v>381933.655</v>
      </c>
      <c r="J79" s="71" t="n">
        <f aca="false">J30+J38+J46+J54+J62+J70</f>
        <v>423447.145</v>
      </c>
      <c r="K79" s="71" t="n">
        <f aca="false">K30+K38+K46+K54+K62+K70</f>
        <v>424449.65</v>
      </c>
      <c r="L79" s="71" t="n">
        <f aca="false">L30+L38+L46+L54+L62+L70</f>
        <v>439767.64</v>
      </c>
      <c r="M79" s="71" t="n">
        <f aca="false">M30+M38+M46+M54+M62+M70</f>
        <v>429931.270123002</v>
      </c>
      <c r="N79" s="71" t="n">
        <f aca="false">N30+N38+N46+N54+N62+N70</f>
        <v>397808.382725422</v>
      </c>
      <c r="O79" s="71" t="n">
        <f aca="false">O30+O38+O46+O54+O62+O70</f>
        <v>368010.612019632</v>
      </c>
      <c r="P79" s="71" t="n">
        <f aca="false">P30+P38+P46+P54+P62+P70</f>
        <v>332953.496492792</v>
      </c>
      <c r="Q79" s="71" t="n">
        <f aca="false">Q30+Q38+Q46+Q54+Q62+Q70</f>
        <v>361676.281316593</v>
      </c>
      <c r="R79" s="71" t="n">
        <f aca="false">R30+R38+R46+R54+R62+R70</f>
        <v>388245.328852953</v>
      </c>
      <c r="S79" s="71" t="n">
        <f aca="false">S30+S38+S46+S54+S62+S70</f>
        <v>413042.886855668</v>
      </c>
      <c r="T79" s="71" t="n">
        <f aca="false">T30+T38+T46+T54+T62+T70</f>
        <v>423572.406026674</v>
      </c>
      <c r="U79" s="71" t="n">
        <f aca="false">U30+U38+U46+U54+U62+U70</f>
        <v>421532.066891591</v>
      </c>
      <c r="V79" s="71" t="n">
        <f aca="false">V30+V38+V46+V54+V62+V70</f>
        <v>408991.113923138</v>
      </c>
      <c r="W79" s="71" t="n">
        <f aca="false">W30+W38+W46+W54+W62+W70</f>
        <v>400027.164165169</v>
      </c>
      <c r="X79" s="71" t="n">
        <f aca="false">X30+X38+X46+X54+X62+X70</f>
        <v>395402.785677432</v>
      </c>
      <c r="Y79" s="71" t="n">
        <f aca="false">Y30+Y38+Y46+Y54+Y62+Y70</f>
        <v>382585.479073417</v>
      </c>
      <c r="Z79" s="71" t="n">
        <f aca="false">Z30+Z38+Z46+Z54+Z62+Z70</f>
        <v>395441.614045518</v>
      </c>
      <c r="AA79" s="71" t="n">
        <f aca="false">AA30+AA38+AA46+AA54+AA62+AA70</f>
        <v>390797.158349315</v>
      </c>
      <c r="AB79" s="71" t="n">
        <f aca="false">AB30+AB38+AB46+AB54+AB62+AB70</f>
        <v>366826.602948809</v>
      </c>
    </row>
    <row r="80" customFormat="false" ht="15" hidden="false" customHeight="false" outlineLevel="0" collapsed="false">
      <c r="A80" s="28" t="s">
        <v>1057</v>
      </c>
      <c r="B80" s="58" t="s">
        <v>61</v>
      </c>
      <c r="C80" s="59" t="n">
        <f aca="false">SUM(E80:P80)</f>
        <v>3931975.92120047</v>
      </c>
      <c r="D80" s="59" t="n">
        <f aca="false">SUM(Q80:AB80)</f>
        <v>4189215.86774153</v>
      </c>
      <c r="E80" s="60" t="n">
        <f aca="false">FX!E62+FX!E63+FX!E64+FX!E65</f>
        <v>284790.937616928</v>
      </c>
      <c r="F80" s="60" t="n">
        <f aca="false">FX!F62+FX!F63+FX!F64+FX!F65</f>
        <v>263475.84349698</v>
      </c>
      <c r="G80" s="60" t="n">
        <f aca="false">FX!G62+FX!G63+FX!G64+FX!G65</f>
        <v>280968.708008925</v>
      </c>
      <c r="H80" s="60" t="n">
        <f aca="false">FX!H62+FX!H63+FX!H64+FX!H65</f>
        <v>305539.89893674</v>
      </c>
      <c r="I80" s="60" t="n">
        <f aca="false">FX!I62+FX!I63+FX!I64+FX!I65</f>
        <v>322408.500452097</v>
      </c>
      <c r="J80" s="60" t="n">
        <f aca="false">FX!J62+FX!J63+FX!J64+FX!J65</f>
        <v>356354.427403447</v>
      </c>
      <c r="K80" s="60" t="n">
        <f aca="false">FX!K62+FX!K63+FX!K64+FX!K65</f>
        <v>356904.525114018</v>
      </c>
      <c r="L80" s="60" t="n">
        <f aca="false">FX!L62+FX!L63+FX!L64+FX!L65</f>
        <v>376271.308778516</v>
      </c>
      <c r="M80" s="60" t="n">
        <f aca="false">FX!M62+FX!M63+FX!M64+FX!M65</f>
        <v>381678.418084155</v>
      </c>
      <c r="N80" s="60" t="n">
        <f aca="false">FX!N62+FX!N63+FX!N64+FX!N65</f>
        <v>361750.186465478</v>
      </c>
      <c r="O80" s="60" t="n">
        <f aca="false">FX!O62+FX!O63+FX!O64+FX!O65</f>
        <v>340715.469746469</v>
      </c>
      <c r="P80" s="60" t="n">
        <f aca="false">FX!P62+FX!P63+FX!P64+FX!P65</f>
        <v>301117.697096719</v>
      </c>
      <c r="Q80" s="60" t="n">
        <f aca="false">FX!Q62+FX!Q63+FX!Q64+FX!Q65</f>
        <v>309181.709399497</v>
      </c>
      <c r="R80" s="60" t="n">
        <f aca="false">FX!R62+FX!R63+FX!R64+FX!R65</f>
        <v>335204.058516579</v>
      </c>
      <c r="S80" s="60" t="n">
        <f aca="false">FX!S62+FX!S63+FX!S64+FX!S65</f>
        <v>362074.469470508</v>
      </c>
      <c r="T80" s="60" t="n">
        <f aca="false">FX!T62+FX!T63+FX!T64+FX!T65</f>
        <v>375776.388852244</v>
      </c>
      <c r="U80" s="60" t="n">
        <f aca="false">FX!U62+FX!U63+FX!U64+FX!U65</f>
        <v>374765.658677564</v>
      </c>
      <c r="V80" s="60" t="n">
        <f aca="false">FX!V62+FX!V63+FX!V64+FX!V65</f>
        <v>363092.708068696</v>
      </c>
      <c r="W80" s="60" t="n">
        <f aca="false">FX!W62+FX!W63+FX!W64+FX!W65</f>
        <v>353507.006151725</v>
      </c>
      <c r="X80" s="60" t="n">
        <f aca="false">FX!X62+FX!X63+FX!X64+FX!X65</f>
        <v>348107.070842298</v>
      </c>
      <c r="Y80" s="60" t="n">
        <f aca="false">FX!Y62+FX!Y63+FX!Y64+FX!Y65</f>
        <v>336724.456014287</v>
      </c>
      <c r="Z80" s="60" t="n">
        <f aca="false">FX!Z62+FX!Z63+FX!Z64+FX!Z65</f>
        <v>350703.15206873</v>
      </c>
      <c r="AA80" s="60" t="n">
        <f aca="false">FX!AA62+FX!AA63+FX!AA64+FX!AA65</f>
        <v>352071.613971338</v>
      </c>
      <c r="AB80" s="60" t="n">
        <f aca="false">FX!AB62+FX!AB63+FX!AB64+FX!AB65</f>
        <v>328007.575708065</v>
      </c>
    </row>
    <row r="81" customFormat="false" ht="15" hidden="false" customHeight="false" outlineLevel="0" collapsed="false">
      <c r="A81" s="68" t="s">
        <v>1058</v>
      </c>
      <c r="B81" s="69"/>
      <c r="C81" s="75" t="n">
        <f aca="false">IF(C79=0,0,C80/C79)</f>
        <v>0.867468329980157</v>
      </c>
      <c r="D81" s="75" t="n">
        <f aca="false">IF(D79=0,0,D80/D79)</f>
        <v>0.882285502146228</v>
      </c>
      <c r="E81" s="75" t="n">
        <f aca="false">IF(E79=0,0,E80/E79)</f>
        <v>0.852254989031965</v>
      </c>
      <c r="F81" s="75" t="n">
        <f aca="false">IF(F79=0,0,F80/F79)</f>
        <v>0.844396846745852</v>
      </c>
      <c r="G81" s="75" t="n">
        <f aca="false">IF(G79=0,0,G80/G79)</f>
        <v>0.848363749833101</v>
      </c>
      <c r="H81" s="75" t="n">
        <f aca="false">IF(H79=0,0,H80/H79)</f>
        <v>0.855802183130243</v>
      </c>
      <c r="I81" s="75" t="n">
        <f aca="false">IF(I79=0,0,I80/I79)</f>
        <v>0.844147920015316</v>
      </c>
      <c r="J81" s="75" t="n">
        <f aca="false">IF(J79=0,0,J80/J79)</f>
        <v>0.84155586266486</v>
      </c>
      <c r="K81" s="75" t="n">
        <f aca="false">IF(K79=0,0,K80/K79)</f>
        <v>0.840864222915529</v>
      </c>
      <c r="L81" s="75" t="n">
        <f aca="false">IF(L79=0,0,L80/L79)</f>
        <v>0.855613907331873</v>
      </c>
      <c r="M81" s="75" t="n">
        <f aca="false">IF(M79=0,0,M80/M79)</f>
        <v>0.887766125908819</v>
      </c>
      <c r="N81" s="75" t="n">
        <f aca="false">IF(N79=0,0,N80/N79)</f>
        <v>0.909357877245054</v>
      </c>
      <c r="O81" s="75" t="n">
        <f aca="false">IF(O79=0,0,O80/O79)</f>
        <v>0.925830556560943</v>
      </c>
      <c r="P81" s="75" t="n">
        <f aca="false">IF(P79=0,0,P80/P79)</f>
        <v>0.904383645970326</v>
      </c>
      <c r="Q81" s="75" t="n">
        <f aca="false">IF(Q79=0,0,Q80/Q79)</f>
        <v>0.854857576709199</v>
      </c>
      <c r="R81" s="75" t="n">
        <f aca="false">IF(R79=0,0,R80/R79)</f>
        <v>0.863382077272944</v>
      </c>
      <c r="S81" s="75" t="n">
        <f aca="false">IF(S79=0,0,S80/S79)</f>
        <v>0.876602602278997</v>
      </c>
      <c r="T81" s="75" t="n">
        <f aca="false">IF(T79=0,0,T80/T79)</f>
        <v>0.887159747673883</v>
      </c>
      <c r="U81" s="75" t="n">
        <f aca="false">IF(U79=0,0,U80/U79)</f>
        <v>0.889056107738407</v>
      </c>
      <c r="V81" s="75" t="n">
        <f aca="false">IF(V79=0,0,V80/V79)</f>
        <v>0.887776520584582</v>
      </c>
      <c r="W81" s="75" t="n">
        <f aca="false">IF(W79=0,0,W80/W79)</f>
        <v>0.883707502437917</v>
      </c>
      <c r="X81" s="75" t="n">
        <f aca="false">IF(X79=0,0,X80/X79)</f>
        <v>0.880385984751969</v>
      </c>
      <c r="Y81" s="75" t="n">
        <f aca="false">IF(Y79=0,0,Y80/Y79)</f>
        <v>0.880128688704547</v>
      </c>
      <c r="Z81" s="75" t="n">
        <f aca="false">IF(Z79=0,0,Z80/Z79)</f>
        <v>0.886864557528236</v>
      </c>
      <c r="AA81" s="75" t="n">
        <f aca="false">IF(AA79=0,0,AA80/AA79)</f>
        <v>0.900906279509427</v>
      </c>
      <c r="AB81" s="75" t="n">
        <f aca="false">IF(AB79=0,0,AB80/AB79)</f>
        <v>0.89417608502576</v>
      </c>
    </row>
    <row r="82" customFormat="false" ht="15" hidden="false" customHeight="false" outlineLevel="0" collapsed="false">
      <c r="A82" s="28" t="s">
        <v>1059</v>
      </c>
      <c r="B82" s="58"/>
      <c r="C82" s="64" t="n">
        <f aca="false">IF(C75=0,0,C80/C75)</f>
        <v>92.7684105678092</v>
      </c>
      <c r="D82" s="64" t="n">
        <f aca="false">IF(D75=0,0,D80/D75)</f>
        <v>98.2910096050372</v>
      </c>
      <c r="E82" s="111" t="n">
        <f aca="false">IF(E75=0,0,E80/E75)</f>
        <v>90.8916917042505</v>
      </c>
      <c r="F82" s="111" t="n">
        <f aca="false">IF(F75=0,0,F80/F75)</f>
        <v>89.9634115808994</v>
      </c>
      <c r="G82" s="111" t="n">
        <f aca="false">IF(G75=0,0,G80/G75)</f>
        <v>90.5066061103353</v>
      </c>
      <c r="H82" s="111" t="n">
        <f aca="false">IF(H75=0,0,H80/H75)</f>
        <v>91.5447923468179</v>
      </c>
      <c r="I82" s="111" t="n">
        <f aca="false">IF(I75=0,0,I80/I75)</f>
        <v>90.3661921778399</v>
      </c>
      <c r="J82" s="111" t="n">
        <f aca="false">IF(J75=0,0,J80/J75)</f>
        <v>90.0316887909469</v>
      </c>
      <c r="K82" s="111" t="n">
        <f aca="false">IF(K75=0,0,K80/K75)</f>
        <v>89.9207692207347</v>
      </c>
      <c r="L82" s="111" t="n">
        <f aca="false">IF(L75=0,0,L80/L75)</f>
        <v>91.5635637267037</v>
      </c>
      <c r="M82" s="111" t="n">
        <f aca="false">IF(M75=0,0,M80/M75)</f>
        <v>95.0413003452444</v>
      </c>
      <c r="N82" s="111" t="n">
        <f aca="false">IF(N75=0,0,N80/N75)</f>
        <v>97.5061847161642</v>
      </c>
      <c r="O82" s="111" t="n">
        <f aca="false">IF(O75=0,0,O80/O75)</f>
        <v>99.1588248332015</v>
      </c>
      <c r="P82" s="111" t="n">
        <f aca="false">IF(P75=0,0,P80/P75)</f>
        <v>96.6838974384631</v>
      </c>
      <c r="Q82" s="111" t="n">
        <f aca="false">IF(Q75=0,0,Q80/Q75)</f>
        <v>95.2421287968227</v>
      </c>
      <c r="R82" s="111" t="n">
        <f aca="false">IF(R75=0,0,R80/R75)</f>
        <v>96.2706964136909</v>
      </c>
      <c r="S82" s="111" t="n">
        <f aca="false">IF(S75=0,0,S80/S75)</f>
        <v>97.8057092667725</v>
      </c>
      <c r="T82" s="111" t="n">
        <f aca="false">IF(T75=0,0,T80/T75)</f>
        <v>98.9498491290025</v>
      </c>
      <c r="U82" s="111" t="n">
        <f aca="false">IF(U75=0,0,U80/U75)</f>
        <v>99.1555939534675</v>
      </c>
      <c r="V82" s="111" t="n">
        <f aca="false">IF(V75=0,0,V80/V75)</f>
        <v>98.8739080532875</v>
      </c>
      <c r="W82" s="111" t="n">
        <f aca="false">IF(W75=0,0,W80/W75)</f>
        <v>98.3634134373963</v>
      </c>
      <c r="X82" s="111" t="n">
        <f aca="false">IF(X75=0,0,X80/X75)</f>
        <v>98.0075408362441</v>
      </c>
      <c r="Y82" s="111" t="n">
        <f aca="false">IF(Y75=0,0,Y80/Y75)</f>
        <v>97.9616363683</v>
      </c>
      <c r="Z82" s="111" t="n">
        <f aca="false">IF(Z75=0,0,Z80/Z75)</f>
        <v>98.7892378098482</v>
      </c>
      <c r="AA82" s="111" t="n">
        <f aca="false">IF(AA75=0,0,AA80/AA75)</f>
        <v>100.322013288966</v>
      </c>
      <c r="AB82" s="111" t="n">
        <f aca="false">IF(AB75=0,0,AB80/AB75)</f>
        <v>99.4432631828426</v>
      </c>
    </row>
    <row r="83" customFormat="false" ht="15" hidden="false" customHeight="false" outlineLevel="0" collapsed="false">
      <c r="A83" s="28" t="s">
        <v>1060</v>
      </c>
      <c r="B83" s="58" t="s">
        <v>1061</v>
      </c>
      <c r="C83" s="59" t="n">
        <f aca="false">SUM(E83:P83)</f>
        <v>600726.640160375</v>
      </c>
      <c r="D83" s="59" t="n">
        <f aca="false">SUM(Q83:AB83)</f>
        <v>558925.020384747</v>
      </c>
      <c r="E83" s="71" t="n">
        <f aca="false">E79-E80</f>
        <v>49370.7173830719</v>
      </c>
      <c r="F83" s="71" t="n">
        <f aca="false">F79-F80</f>
        <v>48552.61150302</v>
      </c>
      <c r="G83" s="71" t="n">
        <f aca="false">G79-G80</f>
        <v>50220.2519910751</v>
      </c>
      <c r="H83" s="71" t="n">
        <f aca="false">H79-H80</f>
        <v>51481.7410632605</v>
      </c>
      <c r="I83" s="71" t="n">
        <f aca="false">I79-I80</f>
        <v>59525.1545479028</v>
      </c>
      <c r="J83" s="71" t="n">
        <f aca="false">J79-J80</f>
        <v>67092.717596553</v>
      </c>
      <c r="K83" s="71" t="n">
        <f aca="false">K79-K80</f>
        <v>67545.1248859817</v>
      </c>
      <c r="L83" s="71" t="n">
        <f aca="false">L79-L80</f>
        <v>63496.3312214838</v>
      </c>
      <c r="M83" s="71" t="n">
        <f aca="false">M79-M80</f>
        <v>48252.8520388463</v>
      </c>
      <c r="N83" s="71" t="n">
        <f aca="false">N79-N80</f>
        <v>36058.1962599442</v>
      </c>
      <c r="O83" s="71" t="n">
        <f aca="false">O79-O80</f>
        <v>27295.1422731629</v>
      </c>
      <c r="P83" s="71" t="n">
        <f aca="false">P79-P80</f>
        <v>31835.7993960726</v>
      </c>
      <c r="Q83" s="71" t="n">
        <f aca="false">Q79-Q80</f>
        <v>52494.5719170958</v>
      </c>
      <c r="R83" s="71" t="n">
        <f aca="false">R79-R80</f>
        <v>53041.2703363731</v>
      </c>
      <c r="S83" s="71" t="n">
        <f aca="false">S79-S80</f>
        <v>50968.4173851602</v>
      </c>
      <c r="T83" s="71" t="n">
        <f aca="false">T79-T80</f>
        <v>47796.0171744305</v>
      </c>
      <c r="U83" s="71" t="n">
        <f aca="false">U79-U80</f>
        <v>46766.4082140274</v>
      </c>
      <c r="V83" s="71" t="n">
        <f aca="false">V79-V80</f>
        <v>45898.4058544421</v>
      </c>
      <c r="W83" s="71" t="n">
        <f aca="false">W79-W80</f>
        <v>46520.1580134449</v>
      </c>
      <c r="X83" s="71" t="n">
        <f aca="false">X79-X80</f>
        <v>47295.7148351341</v>
      </c>
      <c r="Y83" s="71" t="n">
        <f aca="false">Y79-Y80</f>
        <v>45861.0230591295</v>
      </c>
      <c r="Z83" s="71" t="n">
        <f aca="false">Z79-Z80</f>
        <v>44738.4619767883</v>
      </c>
      <c r="AA83" s="71" t="n">
        <f aca="false">AA79-AA80</f>
        <v>38725.5443779772</v>
      </c>
      <c r="AB83" s="71" t="n">
        <f aca="false">AB79-AB80</f>
        <v>38819.0272407439</v>
      </c>
    </row>
    <row r="84" customFormat="false" ht="15" hidden="false" customHeight="false" outlineLevel="0" collapsed="false">
      <c r="A84" s="68" t="s">
        <v>1062</v>
      </c>
      <c r="B84" s="69" t="s">
        <v>1063</v>
      </c>
      <c r="C84" s="70" t="n">
        <f aca="false">SUM(E84:P84)</f>
        <v>173675.315225214</v>
      </c>
      <c r="D84" s="70" t="n">
        <f aca="false">SUM(Q84:AB84)</f>
        <v>85204.0603914109</v>
      </c>
      <c r="E84" s="74" t="n">
        <f aca="false">IF(E$5="A",Inputs_Actuals!E150,(E28*Assumptions!$C$46+E36*Assumptions!$C$47+E44*Assumptions!$C$48+E52*Assumptions!$C$49+E60*Assumptions!$C$50+E68*Assumptions!$C$51+Assumptions!$C$58)*Assumptions!E$105)</f>
        <v>5062.83</v>
      </c>
      <c r="F84" s="74" t="n">
        <f aca="false">IF(F$5="A",Inputs_Actuals!F150,(F28*Assumptions!$C$46+F36*Assumptions!$C$47+F44*Assumptions!$C$48+F52*Assumptions!$C$49+F60*Assumptions!$C$50+F68*Assumptions!$C$51+Assumptions!$C$58)*Assumptions!F$105)</f>
        <v>5921.18</v>
      </c>
      <c r="G84" s="74" t="n">
        <f aca="false">IF(G$5="A",Inputs_Actuals!G150,(G28*Assumptions!$C$46+G36*Assumptions!$C$47+G44*Assumptions!$C$48+G52*Assumptions!$C$49+G60*Assumptions!$C$50+G68*Assumptions!$C$51+Assumptions!$C$58)*Assumptions!G$105)</f>
        <v>5125.2</v>
      </c>
      <c r="H84" s="74" t="n">
        <f aca="false">IF(H$5="A",Inputs_Actuals!H150,(H28*Assumptions!$C$46+H36*Assumptions!$C$47+H44*Assumptions!$C$48+H52*Assumptions!$C$49+H60*Assumptions!$C$50+H68*Assumptions!$C$51+Assumptions!$C$58)*Assumptions!H$105)</f>
        <v>6532.51</v>
      </c>
      <c r="I84" s="74" t="n">
        <f aca="false">IF(I$5="A",Inputs_Actuals!I150,(I28*Assumptions!$C$46+I36*Assumptions!$C$47+I44*Assumptions!$C$48+I52*Assumptions!$C$49+I60*Assumptions!$C$50+I68*Assumptions!$C$51+Assumptions!$C$58)*Assumptions!I$105)</f>
        <v>5209.98</v>
      </c>
      <c r="J84" s="74" t="n">
        <f aca="false">IF(J$5="A",Inputs_Actuals!J150,(J28*Assumptions!$C$46+J36*Assumptions!$C$47+J44*Assumptions!$C$48+J52*Assumptions!$C$49+J60*Assumptions!$C$50+J68*Assumptions!$C$51+Assumptions!$C$58)*Assumptions!J$105)</f>
        <v>25536.25</v>
      </c>
      <c r="K84" s="74" t="n">
        <f aca="false">IF(K$5="A",Inputs_Actuals!K150,(K28*Assumptions!$C$46+K36*Assumptions!$C$47+K44*Assumptions!$C$48+K52*Assumptions!$C$49+K60*Assumptions!$C$50+K68*Assumptions!$C$51+Assumptions!$C$58)*Assumptions!K$105)</f>
        <v>59683.52</v>
      </c>
      <c r="L84" s="74" t="n">
        <f aca="false">IF(L$5="A",Inputs_Actuals!L150,(L28*Assumptions!$C$46+L36*Assumptions!$C$47+L44*Assumptions!$C$48+L52*Assumptions!$C$49+L60*Assumptions!$C$50+L68*Assumptions!$C$51+Assumptions!$C$58)*Assumptions!L$105)</f>
        <v>32476.4</v>
      </c>
      <c r="M84" s="74" t="n">
        <f aca="false">IF(M$5="A",Inputs_Actuals!M150,(M28*Assumptions!$C$46+M36*Assumptions!$C$47+M44*Assumptions!$C$48+M52*Assumptions!$C$49+M60*Assumptions!$C$50+M68*Assumptions!$C$51+Assumptions!$C$58)*Assumptions!M$105)</f>
        <v>11627.4452252141</v>
      </c>
      <c r="N84" s="74" t="n">
        <f aca="false">IF(N$5="A",Inputs_Actuals!N150,(N28*Assumptions!$C$46+N36*Assumptions!$C$47+N44*Assumptions!$C$48+N52*Assumptions!$C$49+N60*Assumptions!$C$50+N68*Assumptions!$C$51+Assumptions!$C$58)*Assumptions!N$105)</f>
        <v>5500</v>
      </c>
      <c r="O84" s="74" t="n">
        <f aca="false">IF(O$5="A",Inputs_Actuals!O150,(O28*Assumptions!$C$46+O36*Assumptions!$C$47+O44*Assumptions!$C$48+O52*Assumptions!$C$49+O60*Assumptions!$C$50+O68*Assumptions!$C$51+Assumptions!$C$58)*Assumptions!O$105)</f>
        <v>5500</v>
      </c>
      <c r="P84" s="74" t="n">
        <f aca="false">IF(P$5="A",Inputs_Actuals!P150,(P28*Assumptions!$C$46+P36*Assumptions!$C$47+P44*Assumptions!$C$48+P52*Assumptions!$C$49+P60*Assumptions!$C$50+P68*Assumptions!$C$51+Assumptions!$C$58)*Assumptions!P$105)</f>
        <v>5500</v>
      </c>
      <c r="Q84" s="74" t="n">
        <f aca="false">IF(Q$5="A",Inputs_Actuals!Q150,(Q28*Assumptions!$C$46+Q36*Assumptions!$C$47+Q44*Assumptions!$C$48+Q52*Assumptions!$C$49+Q60*Assumptions!$C$50+Q68*Assumptions!$C$51+Assumptions!$C$58)*Assumptions!Q$105)</f>
        <v>5747.5</v>
      </c>
      <c r="R84" s="74" t="n">
        <f aca="false">IF(R$5="A",Inputs_Actuals!R150,(R28*Assumptions!$C$46+R36*Assumptions!$C$47+R44*Assumptions!$C$48+R52*Assumptions!$C$49+R60*Assumptions!$C$50+R68*Assumptions!$C$51+Assumptions!$C$58)*Assumptions!R$105)</f>
        <v>5747.5</v>
      </c>
      <c r="S84" s="74" t="n">
        <f aca="false">IF(S$5="A",Inputs_Actuals!S150,(S28*Assumptions!$C$46+S36*Assumptions!$C$47+S44*Assumptions!$C$48+S52*Assumptions!$C$49+S60*Assumptions!$C$50+S68*Assumptions!$C$51+Assumptions!$C$58)*Assumptions!S$105)</f>
        <v>5747.5</v>
      </c>
      <c r="T84" s="74" t="n">
        <f aca="false">IF(T$5="A",Inputs_Actuals!T150,(T28*Assumptions!$C$46+T36*Assumptions!$C$47+T44*Assumptions!$C$48+T52*Assumptions!$C$49+T60*Assumptions!$C$50+T68*Assumptions!$C$51+Assumptions!$C$58)*Assumptions!T$105)</f>
        <v>5747.5</v>
      </c>
      <c r="U84" s="74" t="n">
        <f aca="false">IF(U$5="A",Inputs_Actuals!U150,(U28*Assumptions!$C$46+U36*Assumptions!$C$47+U44*Assumptions!$C$48+U52*Assumptions!$C$49+U60*Assumptions!$C$50+U68*Assumptions!$C$51+Assumptions!$C$58)*Assumptions!U$105)</f>
        <v>5747.5</v>
      </c>
      <c r="V84" s="74" t="n">
        <f aca="false">IF(V$5="A",Inputs_Actuals!V150,(V28*Assumptions!$C$46+V36*Assumptions!$C$47+V44*Assumptions!$C$48+V52*Assumptions!$C$49+V60*Assumptions!$C$50+V68*Assumptions!$C$51+Assumptions!$C$58)*Assumptions!V$105)</f>
        <v>5747.5</v>
      </c>
      <c r="W84" s="74" t="n">
        <f aca="false">IF(W$5="A",Inputs_Actuals!W150,(W28*Assumptions!$C$46+W36*Assumptions!$C$47+W44*Assumptions!$C$48+W52*Assumptions!$C$49+W60*Assumptions!$C$50+W68*Assumptions!$C$51+Assumptions!$C$58)*Assumptions!W$105)</f>
        <v>21981.5603914108</v>
      </c>
      <c r="X84" s="74" t="n">
        <f aca="false">IF(X$5="A",Inputs_Actuals!X150,(X28*Assumptions!$C$46+X36*Assumptions!$C$47+X44*Assumptions!$C$48+X52*Assumptions!$C$49+X60*Assumptions!$C$50+X68*Assumptions!$C$51+Assumptions!$C$58)*Assumptions!X$105)</f>
        <v>5747.5</v>
      </c>
      <c r="Y84" s="74" t="n">
        <f aca="false">IF(Y$5="A",Inputs_Actuals!Y150,(Y28*Assumptions!$C$46+Y36*Assumptions!$C$47+Y44*Assumptions!$C$48+Y52*Assumptions!$C$49+Y60*Assumptions!$C$50+Y68*Assumptions!$C$51+Assumptions!$C$58)*Assumptions!Y$105)</f>
        <v>5747.5</v>
      </c>
      <c r="Z84" s="74" t="n">
        <f aca="false">IF(Z$5="A",Inputs_Actuals!Z150,(Z28*Assumptions!$C$46+Z36*Assumptions!$C$47+Z44*Assumptions!$C$48+Z52*Assumptions!$C$49+Z60*Assumptions!$C$50+Z68*Assumptions!$C$51+Assumptions!$C$58)*Assumptions!Z$105)</f>
        <v>5747.5</v>
      </c>
      <c r="AA84" s="74" t="n">
        <f aca="false">IF(AA$5="A",Inputs_Actuals!AA150,(AA28*Assumptions!$C$46+AA36*Assumptions!$C$47+AA44*Assumptions!$C$48+AA52*Assumptions!$C$49+AA60*Assumptions!$C$50+AA68*Assumptions!$C$51+Assumptions!$C$58)*Assumptions!AA$105)</f>
        <v>5747.5</v>
      </c>
      <c r="AB84" s="74" t="n">
        <f aca="false">IF(AB$5="A",Inputs_Actuals!AB150,(AB28*Assumptions!$C$46+AB36*Assumptions!$C$47+AB44*Assumptions!$C$48+AB52*Assumptions!$C$49+AB60*Assumptions!$C$50+AB68*Assumptions!$C$51+Assumptions!$C$58)*Assumptions!AB$105)</f>
        <v>5747.5</v>
      </c>
    </row>
    <row r="85" customFormat="false" ht="15" hidden="false" customHeight="false" outlineLevel="0" collapsed="false">
      <c r="A85" s="28" t="s">
        <v>1064</v>
      </c>
      <c r="B85" s="58" t="s">
        <v>1065</v>
      </c>
      <c r="C85" s="59" t="n">
        <f aca="false">SUM(E85:P85)</f>
        <v>2073644.16533346</v>
      </c>
      <c r="D85" s="59" t="n">
        <f aca="false">SUM(Q85:AB85)</f>
        <v>2266171.65539918</v>
      </c>
      <c r="E85" s="60" t="n">
        <f aca="false">(E27*Assumptions!$C$52+E35*Assumptions!$C$53+E43*Assumptions!$C$54+E51*Assumptions!$C$55+E59*Assumptions!$C$56+E67*Assumptions!$C$57)*Assumptions!E$105</f>
        <v>158758.796409666</v>
      </c>
      <c r="F85" s="60" t="n">
        <f aca="false">(F27*Assumptions!$C$52+F35*Assumptions!$C$53+F43*Assumptions!$C$54+F51*Assumptions!$C$55+F59*Assumptions!$C$56+F67*Assumptions!$C$57)*Assumptions!F$105</f>
        <v>148004.910103567</v>
      </c>
      <c r="G85" s="60" t="n">
        <f aca="false">(G27*Assumptions!$C$52+G35*Assumptions!$C$53+G43*Assumptions!$C$54+G51*Assumptions!$C$55+G59*Assumptions!$C$56+G67*Assumptions!$C$57)*Assumptions!G$105</f>
        <v>157462.984211738</v>
      </c>
      <c r="H85" s="60" t="n">
        <f aca="false">(H27*Assumptions!$C$52+H35*Assumptions!$C$53+H43*Assumptions!$C$54+H51*Assumptions!$C$55+H59*Assumptions!$C$56+H67*Assumptions!$C$57)*Assumptions!H$105</f>
        <v>170122.773762946</v>
      </c>
      <c r="I85" s="60" t="n">
        <f aca="false">(I27*Assumptions!$C$52+I35*Assumptions!$C$53+I43*Assumptions!$C$54+I51*Assumptions!$C$55+I59*Assumptions!$C$56+I67*Assumptions!$C$57)*Assumptions!I$105</f>
        <v>182222.358573073</v>
      </c>
      <c r="J85" s="60" t="n">
        <f aca="false">(J27*Assumptions!$C$52+J35*Assumptions!$C$53+J43*Assumptions!$C$54+J51*Assumptions!$C$55+J59*Assumptions!$C$56+J67*Assumptions!$C$57)*Assumptions!J$105</f>
        <v>184907.104073648</v>
      </c>
      <c r="K85" s="60" t="n">
        <f aca="false">(K27*Assumptions!$C$52+K35*Assumptions!$C$53+K43*Assumptions!$C$54+K51*Assumptions!$C$55+K59*Assumptions!$C$56+K67*Assumptions!$C$57)*Assumptions!K$105</f>
        <v>159868.243222094</v>
      </c>
      <c r="L85" s="60" t="n">
        <f aca="false">(L27*Assumptions!$C$52+L35*Assumptions!$C$53+L43*Assumptions!$C$54+L51*Assumptions!$C$55+L59*Assumptions!$C$56+L67*Assumptions!$C$57)*Assumptions!L$105</f>
        <v>187288.343751438</v>
      </c>
      <c r="M85" s="60" t="n">
        <f aca="false">(M27*Assumptions!$C$52+M35*Assumptions!$C$53+M43*Assumptions!$C$54+M51*Assumptions!$C$55+M59*Assumptions!$C$56+M67*Assumptions!$C$57)*Assumptions!M$105</f>
        <v>200391.752190542</v>
      </c>
      <c r="N85" s="60" t="n">
        <f aca="false">(N27*Assumptions!$C$52+N35*Assumptions!$C$53+N43*Assumptions!$C$54+N51*Assumptions!$C$55+N59*Assumptions!$C$56+N67*Assumptions!$C$57)*Assumptions!N$105</f>
        <v>190340.339845986</v>
      </c>
      <c r="O85" s="60" t="n">
        <f aca="false">(O27*Assumptions!$C$52+O35*Assumptions!$C$53+O43*Assumptions!$C$54+O51*Assumptions!$C$55+O59*Assumptions!$C$56+O67*Assumptions!$C$57)*Assumptions!O$105</f>
        <v>175756.073942124</v>
      </c>
      <c r="P85" s="60" t="n">
        <f aca="false">(P27*Assumptions!$C$52+P35*Assumptions!$C$53+P43*Assumptions!$C$54+P51*Assumptions!$C$55+P59*Assumptions!$C$56+P67*Assumptions!$C$57)*Assumptions!P$105</f>
        <v>158520.485246634</v>
      </c>
      <c r="Q85" s="60" t="n">
        <f aca="false">(Q27*Assumptions!$C$52+Q35*Assumptions!$C$53+Q43*Assumptions!$C$54+Q51*Assumptions!$C$55+Q59*Assumptions!$C$56+Q67*Assumptions!$C$57)*Assumptions!Q$105</f>
        <v>173505.956327759</v>
      </c>
      <c r="R85" s="60" t="n">
        <f aca="false">(R27*Assumptions!$C$52+R35*Assumptions!$C$53+R43*Assumptions!$C$54+R51*Assumptions!$C$55+R59*Assumptions!$C$56+R67*Assumptions!$C$57)*Assumptions!R$105</f>
        <v>186489.75303313</v>
      </c>
      <c r="S85" s="60" t="n">
        <f aca="false">(S27*Assumptions!$C$52+S35*Assumptions!$C$53+S43*Assumptions!$C$54+S51*Assumptions!$C$55+S59*Assumptions!$C$56+S67*Assumptions!$C$57)*Assumptions!S$105</f>
        <v>198631.306507398</v>
      </c>
      <c r="T85" s="60" t="n">
        <f aca="false">(T27*Assumptions!$C$52+T35*Assumptions!$C$53+T43*Assumptions!$C$54+T51*Assumptions!$C$55+T59*Assumptions!$C$56+T67*Assumptions!$C$57)*Assumptions!T$105</f>
        <v>203637.567187734</v>
      </c>
      <c r="U85" s="60" t="n">
        <f aca="false">(U27*Assumptions!$C$52+U35*Assumptions!$C$53+U43*Assumptions!$C$54+U51*Assumptions!$C$55+U59*Assumptions!$C$56+U67*Assumptions!$C$57)*Assumptions!U$105</f>
        <v>202638.151689871</v>
      </c>
      <c r="V85" s="60" t="n">
        <f aca="false">(V27*Assumptions!$C$52+V35*Assumptions!$C$53+V43*Assumptions!$C$54+V51*Assumptions!$C$55+V59*Assumptions!$C$56+V67*Assumptions!$C$57)*Assumptions!V$105</f>
        <v>196220.917765918</v>
      </c>
      <c r="W85" s="60" t="n">
        <f aca="false">(W27*Assumptions!$C$52+W35*Assumptions!$C$53+W43*Assumptions!$C$54+W51*Assumptions!$C$55+W59*Assumptions!$C$56+W67*Assumptions!$C$57)*Assumptions!W$105</f>
        <v>179180.526670867</v>
      </c>
      <c r="X85" s="60" t="n">
        <f aca="false">(X27*Assumptions!$C$52+X35*Assumptions!$C$53+X43*Assumptions!$C$54+X51*Assumptions!$C$55+X59*Assumptions!$C$56+X67*Assumptions!$C$57)*Assumptions!X$105</f>
        <v>189586.3590281</v>
      </c>
      <c r="Y85" s="60" t="n">
        <f aca="false">(Y27*Assumptions!$C$52+Y35*Assumptions!$C$53+Y43*Assumptions!$C$54+Y51*Assumptions!$C$55+Y59*Assumptions!$C$56+Y67*Assumptions!$C$57)*Assumptions!Y$105</f>
        <v>183419.805424573</v>
      </c>
      <c r="Z85" s="60" t="n">
        <f aca="false">(Z27*Assumptions!$C$52+Z35*Assumptions!$C$53+Z43*Assumptions!$C$54+Z51*Assumptions!$C$55+Z59*Assumptions!$C$56+Z67*Assumptions!$C$57)*Assumptions!Z$105</f>
        <v>189808.988325156</v>
      </c>
      <c r="AA85" s="60" t="n">
        <f aca="false">(AA27*Assumptions!$C$52+AA35*Assumptions!$C$53+AA43*Assumptions!$C$54+AA51*Assumptions!$C$55+AA59*Assumptions!$C$56+AA67*Assumptions!$C$57)*Assumptions!AA$105</f>
        <v>187473.063094526</v>
      </c>
      <c r="AB85" s="60" t="n">
        <f aca="false">(AB27*Assumptions!$C$52+AB35*Assumptions!$C$53+AB43*Assumptions!$C$54+AB51*Assumptions!$C$55+AB59*Assumptions!$C$56+AB67*Assumptions!$C$57)*Assumptions!AB$105</f>
        <v>175579.260344148</v>
      </c>
    </row>
    <row r="86" customFormat="false" ht="15" hidden="false" customHeight="false" outlineLevel="0" collapsed="false">
      <c r="A86" s="28" t="s">
        <v>1066</v>
      </c>
      <c r="B86" s="58" t="s">
        <v>57</v>
      </c>
      <c r="C86" s="59" t="n">
        <f aca="false">SUM(E86:P86)</f>
        <v>-126441.276666543</v>
      </c>
      <c r="D86" s="59" t="n">
        <f aca="false">SUM(Q86:AB86)</f>
        <v>-213777.493200821</v>
      </c>
      <c r="E86" s="60" t="n">
        <f aca="false">E85-People!E12</f>
        <v>-19361.1155903337</v>
      </c>
      <c r="F86" s="60" t="n">
        <f aca="false">F85-People!F12</f>
        <v>-29356.3558964327</v>
      </c>
      <c r="G86" s="60" t="n">
        <f aca="false">G85-People!G12</f>
        <v>-22886.0357882624</v>
      </c>
      <c r="H86" s="60" t="n">
        <f aca="false">H85-People!H12</f>
        <v>-16304.780237054</v>
      </c>
      <c r="I86" s="60" t="n">
        <f aca="false">I85-People!I12</f>
        <v>4530.60657307252</v>
      </c>
      <c r="J86" s="60" t="n">
        <f aca="false">J85-People!J12</f>
        <v>7619.4280736479</v>
      </c>
      <c r="K86" s="60" t="n">
        <f aca="false">K85-People!K12</f>
        <v>-23140.7207779056</v>
      </c>
      <c r="L86" s="60" t="n">
        <f aca="false">L85-People!L12</f>
        <v>3285.24575143843</v>
      </c>
      <c r="M86" s="60" t="n">
        <f aca="false">M85-People!M12</f>
        <v>18825.1521905422</v>
      </c>
      <c r="N86" s="60" t="n">
        <f aca="false">N85-People!N12</f>
        <v>2217.539845986</v>
      </c>
      <c r="O86" s="60" t="n">
        <f aca="false">O85-People!O12</f>
        <v>-17317.3260578761</v>
      </c>
      <c r="P86" s="60" t="n">
        <f aca="false">P85-People!P12</f>
        <v>-34552.9147533657</v>
      </c>
      <c r="Q86" s="60" t="n">
        <f aca="false">Q85-People!Q12</f>
        <v>-31338.7997222405</v>
      </c>
      <c r="R86" s="60" t="n">
        <f aca="false">R85-People!R12</f>
        <v>-18355.0030168703</v>
      </c>
      <c r="S86" s="60" t="n">
        <f aca="false">S85-People!S12</f>
        <v>-8394.65714260185</v>
      </c>
      <c r="T86" s="60" t="n">
        <f aca="false">T85-People!T12</f>
        <v>-3388.3964622659</v>
      </c>
      <c r="U86" s="60" t="n">
        <f aca="false">U85-People!U12</f>
        <v>-4387.81196012913</v>
      </c>
      <c r="V86" s="60" t="n">
        <f aca="false">V85-People!V12</f>
        <v>-10805.0458840825</v>
      </c>
      <c r="W86" s="60" t="n">
        <f aca="false">W85-People!W12</f>
        <v>-27845.4369791328</v>
      </c>
      <c r="X86" s="60" t="n">
        <f aca="false">X85-People!X12</f>
        <v>-17439.6046218999</v>
      </c>
      <c r="Y86" s="60" t="n">
        <f aca="false">Y85-People!Y12</f>
        <v>-23606.1582254272</v>
      </c>
      <c r="Z86" s="60" t="n">
        <f aca="false">Z85-People!Z12</f>
        <v>-17216.9753248439</v>
      </c>
      <c r="AA86" s="60" t="n">
        <f aca="false">AA85-People!AA12</f>
        <v>-19552.9005554742</v>
      </c>
      <c r="AB86" s="60" t="n">
        <f aca="false">AB85-People!AB12</f>
        <v>-31446.7033058524</v>
      </c>
    </row>
    <row r="87" customFormat="false" ht="15" hidden="false" customHeight="false" outlineLevel="0" collapsed="false">
      <c r="A87" s="22" t="s">
        <v>1067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row>
    <row r="88" customFormat="false" ht="15" hidden="false" customHeight="false" outlineLevel="0" collapsed="false">
      <c r="A88" s="28" t="s">
        <v>1068</v>
      </c>
      <c r="B88" s="58" t="s">
        <v>1069</v>
      </c>
      <c r="C88" s="64" t="n">
        <f aca="false">AVERAGE(E88:P88)</f>
        <v>46.5235995397008</v>
      </c>
      <c r="D88" s="64" t="n">
        <f aca="false">AVERAGE(Q88:AB88)</f>
        <v>48.6171615189873</v>
      </c>
      <c r="E88" s="65" t="n">
        <f aca="false">(Assumptions!$C$79*Assumptions!$C$52+Assumptions!$D$79*Assumptions!$C$53+Assumptions!$E$79*Assumptions!$C$54+Assumptions!$F$79*Assumptions!$C$55+Assumptions!$G$79*Assumptions!$C$56+Assumptions!$H$79*Assumptions!$C$57)*Assumptions!E$105</f>
        <v>46.5235995397008</v>
      </c>
      <c r="F88" s="65" t="n">
        <f aca="false">(Assumptions!$C$79*Assumptions!$C$52+Assumptions!$D$79*Assumptions!$C$53+Assumptions!$E$79*Assumptions!$C$54+Assumptions!$F$79*Assumptions!$C$55+Assumptions!$G$79*Assumptions!$C$56+Assumptions!$H$79*Assumptions!$C$57)*Assumptions!F$105</f>
        <v>46.5235995397008</v>
      </c>
      <c r="G88" s="65" t="n">
        <f aca="false">(Assumptions!$C$79*Assumptions!$C$52+Assumptions!$D$79*Assumptions!$C$53+Assumptions!$E$79*Assumptions!$C$54+Assumptions!$F$79*Assumptions!$C$55+Assumptions!$G$79*Assumptions!$C$56+Assumptions!$H$79*Assumptions!$C$57)*Assumptions!G$105</f>
        <v>46.5235995397008</v>
      </c>
      <c r="H88" s="65" t="n">
        <f aca="false">(Assumptions!$C$79*Assumptions!$C$52+Assumptions!$D$79*Assumptions!$C$53+Assumptions!$E$79*Assumptions!$C$54+Assumptions!$F$79*Assumptions!$C$55+Assumptions!$G$79*Assumptions!$C$56+Assumptions!$H$79*Assumptions!$C$57)*Assumptions!H$105</f>
        <v>46.5235995397008</v>
      </c>
      <c r="I88" s="65" t="n">
        <f aca="false">(Assumptions!$C$79*Assumptions!$C$52+Assumptions!$D$79*Assumptions!$C$53+Assumptions!$E$79*Assumptions!$C$54+Assumptions!$F$79*Assumptions!$C$55+Assumptions!$G$79*Assumptions!$C$56+Assumptions!$H$79*Assumptions!$C$57)*Assumptions!I$105</f>
        <v>46.5235995397008</v>
      </c>
      <c r="J88" s="65" t="n">
        <f aca="false">(Assumptions!$C$79*Assumptions!$C$52+Assumptions!$D$79*Assumptions!$C$53+Assumptions!$E$79*Assumptions!$C$54+Assumptions!$F$79*Assumptions!$C$55+Assumptions!$G$79*Assumptions!$C$56+Assumptions!$H$79*Assumptions!$C$57)*Assumptions!J$105</f>
        <v>46.5235995397008</v>
      </c>
      <c r="K88" s="65" t="n">
        <f aca="false">(Assumptions!$C$79*Assumptions!$C$52+Assumptions!$D$79*Assumptions!$C$53+Assumptions!$E$79*Assumptions!$C$54+Assumptions!$F$79*Assumptions!$C$55+Assumptions!$G$79*Assumptions!$C$56+Assumptions!$H$79*Assumptions!$C$57)*Assumptions!K$105</f>
        <v>46.5235995397008</v>
      </c>
      <c r="L88" s="65" t="n">
        <f aca="false">(Assumptions!$C$79*Assumptions!$C$52+Assumptions!$D$79*Assumptions!$C$53+Assumptions!$E$79*Assumptions!$C$54+Assumptions!$F$79*Assumptions!$C$55+Assumptions!$G$79*Assumptions!$C$56+Assumptions!$H$79*Assumptions!$C$57)*Assumptions!L$105</f>
        <v>46.5235995397008</v>
      </c>
      <c r="M88" s="65" t="n">
        <f aca="false">(Assumptions!$C$79*Assumptions!$C$52+Assumptions!$D$79*Assumptions!$C$53+Assumptions!$E$79*Assumptions!$C$54+Assumptions!$F$79*Assumptions!$C$55+Assumptions!$G$79*Assumptions!$C$56+Assumptions!$H$79*Assumptions!$C$57)*Assumptions!M$105</f>
        <v>46.5235995397008</v>
      </c>
      <c r="N88" s="65" t="n">
        <f aca="false">(Assumptions!$C$79*Assumptions!$C$52+Assumptions!$D$79*Assumptions!$C$53+Assumptions!$E$79*Assumptions!$C$54+Assumptions!$F$79*Assumptions!$C$55+Assumptions!$G$79*Assumptions!$C$56+Assumptions!$H$79*Assumptions!$C$57)*Assumptions!N$105</f>
        <v>46.5235995397008</v>
      </c>
      <c r="O88" s="65" t="n">
        <f aca="false">(Assumptions!$C$79*Assumptions!$C$52+Assumptions!$D$79*Assumptions!$C$53+Assumptions!$E$79*Assumptions!$C$54+Assumptions!$F$79*Assumptions!$C$55+Assumptions!$G$79*Assumptions!$C$56+Assumptions!$H$79*Assumptions!$C$57)*Assumptions!O$105</f>
        <v>46.5235995397008</v>
      </c>
      <c r="P88" s="65" t="n">
        <f aca="false">(Assumptions!$C$79*Assumptions!$C$52+Assumptions!$D$79*Assumptions!$C$53+Assumptions!$E$79*Assumptions!$C$54+Assumptions!$F$79*Assumptions!$C$55+Assumptions!$G$79*Assumptions!$C$56+Assumptions!$H$79*Assumptions!$C$57)*Assumptions!P$105</f>
        <v>46.5235995397008</v>
      </c>
      <c r="Q88" s="65" t="n">
        <f aca="false">(Assumptions!$C$79*Assumptions!$C$52+Assumptions!$D$79*Assumptions!$C$53+Assumptions!$E$79*Assumptions!$C$54+Assumptions!$F$79*Assumptions!$C$55+Assumptions!$G$79*Assumptions!$C$56+Assumptions!$H$79*Assumptions!$C$57)*Assumptions!Q$105</f>
        <v>48.6171615189873</v>
      </c>
      <c r="R88" s="65" t="n">
        <f aca="false">(Assumptions!$C$79*Assumptions!$C$52+Assumptions!$D$79*Assumptions!$C$53+Assumptions!$E$79*Assumptions!$C$54+Assumptions!$F$79*Assumptions!$C$55+Assumptions!$G$79*Assumptions!$C$56+Assumptions!$H$79*Assumptions!$C$57)*Assumptions!R$105</f>
        <v>48.6171615189873</v>
      </c>
      <c r="S88" s="65" t="n">
        <f aca="false">(Assumptions!$C$79*Assumptions!$C$52+Assumptions!$D$79*Assumptions!$C$53+Assumptions!$E$79*Assumptions!$C$54+Assumptions!$F$79*Assumptions!$C$55+Assumptions!$G$79*Assumptions!$C$56+Assumptions!$H$79*Assumptions!$C$57)*Assumptions!S$105</f>
        <v>48.6171615189873</v>
      </c>
      <c r="T88" s="65" t="n">
        <f aca="false">(Assumptions!$C$79*Assumptions!$C$52+Assumptions!$D$79*Assumptions!$C$53+Assumptions!$E$79*Assumptions!$C$54+Assumptions!$F$79*Assumptions!$C$55+Assumptions!$G$79*Assumptions!$C$56+Assumptions!$H$79*Assumptions!$C$57)*Assumptions!T$105</f>
        <v>48.6171615189873</v>
      </c>
      <c r="U88" s="65" t="n">
        <f aca="false">(Assumptions!$C$79*Assumptions!$C$52+Assumptions!$D$79*Assumptions!$C$53+Assumptions!$E$79*Assumptions!$C$54+Assumptions!$F$79*Assumptions!$C$55+Assumptions!$G$79*Assumptions!$C$56+Assumptions!$H$79*Assumptions!$C$57)*Assumptions!U$105</f>
        <v>48.6171615189873</v>
      </c>
      <c r="V88" s="65" t="n">
        <f aca="false">(Assumptions!$C$79*Assumptions!$C$52+Assumptions!$D$79*Assumptions!$C$53+Assumptions!$E$79*Assumptions!$C$54+Assumptions!$F$79*Assumptions!$C$55+Assumptions!$G$79*Assumptions!$C$56+Assumptions!$H$79*Assumptions!$C$57)*Assumptions!V$105</f>
        <v>48.6171615189873</v>
      </c>
      <c r="W88" s="65" t="n">
        <f aca="false">(Assumptions!$C$79*Assumptions!$C$52+Assumptions!$D$79*Assumptions!$C$53+Assumptions!$E$79*Assumptions!$C$54+Assumptions!$F$79*Assumptions!$C$55+Assumptions!$G$79*Assumptions!$C$56+Assumptions!$H$79*Assumptions!$C$57)*Assumptions!W$105</f>
        <v>48.6171615189873</v>
      </c>
      <c r="X88" s="65" t="n">
        <f aca="false">(Assumptions!$C$79*Assumptions!$C$52+Assumptions!$D$79*Assumptions!$C$53+Assumptions!$E$79*Assumptions!$C$54+Assumptions!$F$79*Assumptions!$C$55+Assumptions!$G$79*Assumptions!$C$56+Assumptions!$H$79*Assumptions!$C$57)*Assumptions!X$105</f>
        <v>48.6171615189873</v>
      </c>
      <c r="Y88" s="65" t="n">
        <f aca="false">(Assumptions!$C$79*Assumptions!$C$52+Assumptions!$D$79*Assumptions!$C$53+Assumptions!$E$79*Assumptions!$C$54+Assumptions!$F$79*Assumptions!$C$55+Assumptions!$G$79*Assumptions!$C$56+Assumptions!$H$79*Assumptions!$C$57)*Assumptions!Y$105</f>
        <v>48.6171615189873</v>
      </c>
      <c r="Z88" s="65" t="n">
        <f aca="false">(Assumptions!$C$79*Assumptions!$C$52+Assumptions!$D$79*Assumptions!$C$53+Assumptions!$E$79*Assumptions!$C$54+Assumptions!$F$79*Assumptions!$C$55+Assumptions!$G$79*Assumptions!$C$56+Assumptions!$H$79*Assumptions!$C$57)*Assumptions!Z$105</f>
        <v>48.6171615189873</v>
      </c>
      <c r="AA88" s="65" t="n">
        <f aca="false">(Assumptions!$C$79*Assumptions!$C$52+Assumptions!$D$79*Assumptions!$C$53+Assumptions!$E$79*Assumptions!$C$54+Assumptions!$F$79*Assumptions!$C$55+Assumptions!$G$79*Assumptions!$C$56+Assumptions!$H$79*Assumptions!$C$57)*Assumptions!AA$105</f>
        <v>48.6171615189873</v>
      </c>
      <c r="AB88" s="65" t="n">
        <f aca="false">(Assumptions!$C$79*Assumptions!$C$52+Assumptions!$D$79*Assumptions!$C$53+Assumptions!$E$79*Assumptions!$C$54+Assumptions!$F$79*Assumptions!$C$55+Assumptions!$G$79*Assumptions!$C$56+Assumptions!$H$79*Assumptions!$C$57)*Assumptions!AB$105</f>
        <v>48.6171615189873</v>
      </c>
    </row>
    <row r="89" customFormat="false" ht="15" hidden="false" customHeight="false" outlineLevel="0" collapsed="false">
      <c r="A89" s="28" t="s">
        <v>1070</v>
      </c>
      <c r="B89" s="58" t="s">
        <v>1069</v>
      </c>
      <c r="C89" s="64" t="n">
        <f aca="false">AVERAGE(E89:P89)</f>
        <v>46.6714108170311</v>
      </c>
      <c r="D89" s="64" t="n">
        <f aca="false">AVERAGE(Q89:AB89)</f>
        <v>48.7716243037975</v>
      </c>
      <c r="E89" s="65" t="n">
        <f aca="false">(Assumptions!$C$80*Assumptions!$C$52+Assumptions!$D$80*Assumptions!$C$53+Assumptions!$E$80*Assumptions!$C$54+Assumptions!$F$80*Assumptions!$C$55+Assumptions!$G$80*Assumptions!$C$56+Assumptions!$H$80*Assumptions!$C$57)*Assumptions!E$105</f>
        <v>46.6714108170311</v>
      </c>
      <c r="F89" s="65" t="n">
        <f aca="false">(Assumptions!$C$80*Assumptions!$C$52+Assumptions!$D$80*Assumptions!$C$53+Assumptions!$E$80*Assumptions!$C$54+Assumptions!$F$80*Assumptions!$C$55+Assumptions!$G$80*Assumptions!$C$56+Assumptions!$H$80*Assumptions!$C$57)*Assumptions!F$105</f>
        <v>46.6714108170311</v>
      </c>
      <c r="G89" s="65" t="n">
        <f aca="false">(Assumptions!$C$80*Assumptions!$C$52+Assumptions!$D$80*Assumptions!$C$53+Assumptions!$E$80*Assumptions!$C$54+Assumptions!$F$80*Assumptions!$C$55+Assumptions!$G$80*Assumptions!$C$56+Assumptions!$H$80*Assumptions!$C$57)*Assumptions!G$105</f>
        <v>46.6714108170311</v>
      </c>
      <c r="H89" s="65" t="n">
        <f aca="false">(Assumptions!$C$80*Assumptions!$C$52+Assumptions!$D$80*Assumptions!$C$53+Assumptions!$E$80*Assumptions!$C$54+Assumptions!$F$80*Assumptions!$C$55+Assumptions!$G$80*Assumptions!$C$56+Assumptions!$H$80*Assumptions!$C$57)*Assumptions!H$105</f>
        <v>46.6714108170311</v>
      </c>
      <c r="I89" s="65" t="n">
        <f aca="false">(Assumptions!$C$80*Assumptions!$C$52+Assumptions!$D$80*Assumptions!$C$53+Assumptions!$E$80*Assumptions!$C$54+Assumptions!$F$80*Assumptions!$C$55+Assumptions!$G$80*Assumptions!$C$56+Assumptions!$H$80*Assumptions!$C$57)*Assumptions!I$105</f>
        <v>46.6714108170311</v>
      </c>
      <c r="J89" s="65" t="n">
        <f aca="false">(Assumptions!$C$80*Assumptions!$C$52+Assumptions!$D$80*Assumptions!$C$53+Assumptions!$E$80*Assumptions!$C$54+Assumptions!$F$80*Assumptions!$C$55+Assumptions!$G$80*Assumptions!$C$56+Assumptions!$H$80*Assumptions!$C$57)*Assumptions!J$105</f>
        <v>46.6714108170311</v>
      </c>
      <c r="K89" s="65" t="n">
        <f aca="false">(Assumptions!$C$80*Assumptions!$C$52+Assumptions!$D$80*Assumptions!$C$53+Assumptions!$E$80*Assumptions!$C$54+Assumptions!$F$80*Assumptions!$C$55+Assumptions!$G$80*Assumptions!$C$56+Assumptions!$H$80*Assumptions!$C$57)*Assumptions!K$105</f>
        <v>46.6714108170311</v>
      </c>
      <c r="L89" s="65" t="n">
        <f aca="false">(Assumptions!$C$80*Assumptions!$C$52+Assumptions!$D$80*Assumptions!$C$53+Assumptions!$E$80*Assumptions!$C$54+Assumptions!$F$80*Assumptions!$C$55+Assumptions!$G$80*Assumptions!$C$56+Assumptions!$H$80*Assumptions!$C$57)*Assumptions!L$105</f>
        <v>46.6714108170311</v>
      </c>
      <c r="M89" s="65" t="n">
        <f aca="false">(Assumptions!$C$80*Assumptions!$C$52+Assumptions!$D$80*Assumptions!$C$53+Assumptions!$E$80*Assumptions!$C$54+Assumptions!$F$80*Assumptions!$C$55+Assumptions!$G$80*Assumptions!$C$56+Assumptions!$H$80*Assumptions!$C$57)*Assumptions!M$105</f>
        <v>46.6714108170311</v>
      </c>
      <c r="N89" s="65" t="n">
        <f aca="false">(Assumptions!$C$80*Assumptions!$C$52+Assumptions!$D$80*Assumptions!$C$53+Assumptions!$E$80*Assumptions!$C$54+Assumptions!$F$80*Assumptions!$C$55+Assumptions!$G$80*Assumptions!$C$56+Assumptions!$H$80*Assumptions!$C$57)*Assumptions!N$105</f>
        <v>46.6714108170311</v>
      </c>
      <c r="O89" s="65" t="n">
        <f aca="false">(Assumptions!$C$80*Assumptions!$C$52+Assumptions!$D$80*Assumptions!$C$53+Assumptions!$E$80*Assumptions!$C$54+Assumptions!$F$80*Assumptions!$C$55+Assumptions!$G$80*Assumptions!$C$56+Assumptions!$H$80*Assumptions!$C$57)*Assumptions!O$105</f>
        <v>46.6714108170311</v>
      </c>
      <c r="P89" s="65" t="n">
        <f aca="false">(Assumptions!$C$80*Assumptions!$C$52+Assumptions!$D$80*Assumptions!$C$53+Assumptions!$E$80*Assumptions!$C$54+Assumptions!$F$80*Assumptions!$C$55+Assumptions!$G$80*Assumptions!$C$56+Assumptions!$H$80*Assumptions!$C$57)*Assumptions!P$105</f>
        <v>46.6714108170311</v>
      </c>
      <c r="Q89" s="65" t="n">
        <f aca="false">(Assumptions!$C$80*Assumptions!$C$52+Assumptions!$D$80*Assumptions!$C$53+Assumptions!$E$80*Assumptions!$C$54+Assumptions!$F$80*Assumptions!$C$55+Assumptions!$G$80*Assumptions!$C$56+Assumptions!$H$80*Assumptions!$C$57)*Assumptions!Q$105</f>
        <v>48.7716243037975</v>
      </c>
      <c r="R89" s="65" t="n">
        <f aca="false">(Assumptions!$C$80*Assumptions!$C$52+Assumptions!$D$80*Assumptions!$C$53+Assumptions!$E$80*Assumptions!$C$54+Assumptions!$F$80*Assumptions!$C$55+Assumptions!$G$80*Assumptions!$C$56+Assumptions!$H$80*Assumptions!$C$57)*Assumptions!R$105</f>
        <v>48.7716243037975</v>
      </c>
      <c r="S89" s="65" t="n">
        <f aca="false">(Assumptions!$C$80*Assumptions!$C$52+Assumptions!$D$80*Assumptions!$C$53+Assumptions!$E$80*Assumptions!$C$54+Assumptions!$F$80*Assumptions!$C$55+Assumptions!$G$80*Assumptions!$C$56+Assumptions!$H$80*Assumptions!$C$57)*Assumptions!S$105</f>
        <v>48.7716243037975</v>
      </c>
      <c r="T89" s="65" t="n">
        <f aca="false">(Assumptions!$C$80*Assumptions!$C$52+Assumptions!$D$80*Assumptions!$C$53+Assumptions!$E$80*Assumptions!$C$54+Assumptions!$F$80*Assumptions!$C$55+Assumptions!$G$80*Assumptions!$C$56+Assumptions!$H$80*Assumptions!$C$57)*Assumptions!T$105</f>
        <v>48.7716243037975</v>
      </c>
      <c r="U89" s="65" t="n">
        <f aca="false">(Assumptions!$C$80*Assumptions!$C$52+Assumptions!$D$80*Assumptions!$C$53+Assumptions!$E$80*Assumptions!$C$54+Assumptions!$F$80*Assumptions!$C$55+Assumptions!$G$80*Assumptions!$C$56+Assumptions!$H$80*Assumptions!$C$57)*Assumptions!U$105</f>
        <v>48.7716243037975</v>
      </c>
      <c r="V89" s="65" t="n">
        <f aca="false">(Assumptions!$C$80*Assumptions!$C$52+Assumptions!$D$80*Assumptions!$C$53+Assumptions!$E$80*Assumptions!$C$54+Assumptions!$F$80*Assumptions!$C$55+Assumptions!$G$80*Assumptions!$C$56+Assumptions!$H$80*Assumptions!$C$57)*Assumptions!V$105</f>
        <v>48.7716243037975</v>
      </c>
      <c r="W89" s="65" t="n">
        <f aca="false">(Assumptions!$C$80*Assumptions!$C$52+Assumptions!$D$80*Assumptions!$C$53+Assumptions!$E$80*Assumptions!$C$54+Assumptions!$F$80*Assumptions!$C$55+Assumptions!$G$80*Assumptions!$C$56+Assumptions!$H$80*Assumptions!$C$57)*Assumptions!W$105</f>
        <v>48.7716243037975</v>
      </c>
      <c r="X89" s="65" t="n">
        <f aca="false">(Assumptions!$C$80*Assumptions!$C$52+Assumptions!$D$80*Assumptions!$C$53+Assumptions!$E$80*Assumptions!$C$54+Assumptions!$F$80*Assumptions!$C$55+Assumptions!$G$80*Assumptions!$C$56+Assumptions!$H$80*Assumptions!$C$57)*Assumptions!X$105</f>
        <v>48.7716243037975</v>
      </c>
      <c r="Y89" s="65" t="n">
        <f aca="false">(Assumptions!$C$80*Assumptions!$C$52+Assumptions!$D$80*Assumptions!$C$53+Assumptions!$E$80*Assumptions!$C$54+Assumptions!$F$80*Assumptions!$C$55+Assumptions!$G$80*Assumptions!$C$56+Assumptions!$H$80*Assumptions!$C$57)*Assumptions!Y$105</f>
        <v>48.7716243037975</v>
      </c>
      <c r="Z89" s="65" t="n">
        <f aca="false">(Assumptions!$C$80*Assumptions!$C$52+Assumptions!$D$80*Assumptions!$C$53+Assumptions!$E$80*Assumptions!$C$54+Assumptions!$F$80*Assumptions!$C$55+Assumptions!$G$80*Assumptions!$C$56+Assumptions!$H$80*Assumptions!$C$57)*Assumptions!Z$105</f>
        <v>48.7716243037975</v>
      </c>
      <c r="AA89" s="65" t="n">
        <f aca="false">(Assumptions!$C$80*Assumptions!$C$52+Assumptions!$D$80*Assumptions!$C$53+Assumptions!$E$80*Assumptions!$C$54+Assumptions!$F$80*Assumptions!$C$55+Assumptions!$G$80*Assumptions!$C$56+Assumptions!$H$80*Assumptions!$C$57)*Assumptions!AA$105</f>
        <v>48.7716243037975</v>
      </c>
      <c r="AB89" s="65" t="n">
        <f aca="false">(Assumptions!$C$80*Assumptions!$C$52+Assumptions!$D$80*Assumptions!$C$53+Assumptions!$E$80*Assumptions!$C$54+Assumptions!$F$80*Assumptions!$C$55+Assumptions!$G$80*Assumptions!$C$56+Assumptions!$H$80*Assumptions!$C$57)*Assumptions!AB$105</f>
        <v>48.7716243037975</v>
      </c>
    </row>
    <row r="90" customFormat="false" ht="15" hidden="false" customHeight="false" outlineLevel="0" collapsed="false">
      <c r="A90" s="28" t="s">
        <v>1071</v>
      </c>
      <c r="B90" s="58" t="s">
        <v>1069</v>
      </c>
      <c r="C90" s="64" t="n">
        <f aca="false">AVERAGE(E90:P90)</f>
        <v>54.0742922899885</v>
      </c>
      <c r="D90" s="64" t="n">
        <f aca="false">AVERAGE(Q90:AB90)</f>
        <v>56.507635443038</v>
      </c>
      <c r="E90" s="65" t="n">
        <f aca="false">(Assumptions!$C$81*Assumptions!$C$52+Assumptions!$D$81*Assumptions!$C$53+Assumptions!$E$81*Assumptions!$C$54+Assumptions!$F$81*Assumptions!$C$55+Assumptions!$G$81*Assumptions!$C$56+Assumptions!$H$81*Assumptions!$C$57)*Assumptions!E$105</f>
        <v>54.0742922899885</v>
      </c>
      <c r="F90" s="65" t="n">
        <f aca="false">(Assumptions!$C$81*Assumptions!$C$52+Assumptions!$D$81*Assumptions!$C$53+Assumptions!$E$81*Assumptions!$C$54+Assumptions!$F$81*Assumptions!$C$55+Assumptions!$G$81*Assumptions!$C$56+Assumptions!$H$81*Assumptions!$C$57)*Assumptions!F$105</f>
        <v>54.0742922899885</v>
      </c>
      <c r="G90" s="65" t="n">
        <f aca="false">(Assumptions!$C$81*Assumptions!$C$52+Assumptions!$D$81*Assumptions!$C$53+Assumptions!$E$81*Assumptions!$C$54+Assumptions!$F$81*Assumptions!$C$55+Assumptions!$G$81*Assumptions!$C$56+Assumptions!$H$81*Assumptions!$C$57)*Assumptions!G$105</f>
        <v>54.0742922899885</v>
      </c>
      <c r="H90" s="65" t="n">
        <f aca="false">(Assumptions!$C$81*Assumptions!$C$52+Assumptions!$D$81*Assumptions!$C$53+Assumptions!$E$81*Assumptions!$C$54+Assumptions!$F$81*Assumptions!$C$55+Assumptions!$G$81*Assumptions!$C$56+Assumptions!$H$81*Assumptions!$C$57)*Assumptions!H$105</f>
        <v>54.0742922899885</v>
      </c>
      <c r="I90" s="65" t="n">
        <f aca="false">(Assumptions!$C$81*Assumptions!$C$52+Assumptions!$D$81*Assumptions!$C$53+Assumptions!$E$81*Assumptions!$C$54+Assumptions!$F$81*Assumptions!$C$55+Assumptions!$G$81*Assumptions!$C$56+Assumptions!$H$81*Assumptions!$C$57)*Assumptions!I$105</f>
        <v>54.0742922899885</v>
      </c>
      <c r="J90" s="65" t="n">
        <f aca="false">(Assumptions!$C$81*Assumptions!$C$52+Assumptions!$D$81*Assumptions!$C$53+Assumptions!$E$81*Assumptions!$C$54+Assumptions!$F$81*Assumptions!$C$55+Assumptions!$G$81*Assumptions!$C$56+Assumptions!$H$81*Assumptions!$C$57)*Assumptions!J$105</f>
        <v>54.0742922899885</v>
      </c>
      <c r="K90" s="65" t="n">
        <f aca="false">(Assumptions!$C$81*Assumptions!$C$52+Assumptions!$D$81*Assumptions!$C$53+Assumptions!$E$81*Assumptions!$C$54+Assumptions!$F$81*Assumptions!$C$55+Assumptions!$G$81*Assumptions!$C$56+Assumptions!$H$81*Assumptions!$C$57)*Assumptions!K$105</f>
        <v>54.0742922899885</v>
      </c>
      <c r="L90" s="65" t="n">
        <f aca="false">(Assumptions!$C$81*Assumptions!$C$52+Assumptions!$D$81*Assumptions!$C$53+Assumptions!$E$81*Assumptions!$C$54+Assumptions!$F$81*Assumptions!$C$55+Assumptions!$G$81*Assumptions!$C$56+Assumptions!$H$81*Assumptions!$C$57)*Assumptions!L$105</f>
        <v>54.0742922899885</v>
      </c>
      <c r="M90" s="65" t="n">
        <f aca="false">(Assumptions!$C$81*Assumptions!$C$52+Assumptions!$D$81*Assumptions!$C$53+Assumptions!$E$81*Assumptions!$C$54+Assumptions!$F$81*Assumptions!$C$55+Assumptions!$G$81*Assumptions!$C$56+Assumptions!$H$81*Assumptions!$C$57)*Assumptions!M$105</f>
        <v>54.0742922899885</v>
      </c>
      <c r="N90" s="65" t="n">
        <f aca="false">(Assumptions!$C$81*Assumptions!$C$52+Assumptions!$D$81*Assumptions!$C$53+Assumptions!$E$81*Assumptions!$C$54+Assumptions!$F$81*Assumptions!$C$55+Assumptions!$G$81*Assumptions!$C$56+Assumptions!$H$81*Assumptions!$C$57)*Assumptions!N$105</f>
        <v>54.0742922899885</v>
      </c>
      <c r="O90" s="65" t="n">
        <f aca="false">(Assumptions!$C$81*Assumptions!$C$52+Assumptions!$D$81*Assumptions!$C$53+Assumptions!$E$81*Assumptions!$C$54+Assumptions!$F$81*Assumptions!$C$55+Assumptions!$G$81*Assumptions!$C$56+Assumptions!$H$81*Assumptions!$C$57)*Assumptions!O$105</f>
        <v>54.0742922899885</v>
      </c>
      <c r="P90" s="65" t="n">
        <f aca="false">(Assumptions!$C$81*Assumptions!$C$52+Assumptions!$D$81*Assumptions!$C$53+Assumptions!$E$81*Assumptions!$C$54+Assumptions!$F$81*Assumptions!$C$55+Assumptions!$G$81*Assumptions!$C$56+Assumptions!$H$81*Assumptions!$C$57)*Assumptions!P$105</f>
        <v>54.0742922899885</v>
      </c>
      <c r="Q90" s="65" t="n">
        <f aca="false">(Assumptions!$C$81*Assumptions!$C$52+Assumptions!$D$81*Assumptions!$C$53+Assumptions!$E$81*Assumptions!$C$54+Assumptions!$F$81*Assumptions!$C$55+Assumptions!$G$81*Assumptions!$C$56+Assumptions!$H$81*Assumptions!$C$57)*Assumptions!Q$105</f>
        <v>56.507635443038</v>
      </c>
      <c r="R90" s="65" t="n">
        <f aca="false">(Assumptions!$C$81*Assumptions!$C$52+Assumptions!$D$81*Assumptions!$C$53+Assumptions!$E$81*Assumptions!$C$54+Assumptions!$F$81*Assumptions!$C$55+Assumptions!$G$81*Assumptions!$C$56+Assumptions!$H$81*Assumptions!$C$57)*Assumptions!R$105</f>
        <v>56.507635443038</v>
      </c>
      <c r="S90" s="65" t="n">
        <f aca="false">(Assumptions!$C$81*Assumptions!$C$52+Assumptions!$D$81*Assumptions!$C$53+Assumptions!$E$81*Assumptions!$C$54+Assumptions!$F$81*Assumptions!$C$55+Assumptions!$G$81*Assumptions!$C$56+Assumptions!$H$81*Assumptions!$C$57)*Assumptions!S$105</f>
        <v>56.507635443038</v>
      </c>
      <c r="T90" s="65" t="n">
        <f aca="false">(Assumptions!$C$81*Assumptions!$C$52+Assumptions!$D$81*Assumptions!$C$53+Assumptions!$E$81*Assumptions!$C$54+Assumptions!$F$81*Assumptions!$C$55+Assumptions!$G$81*Assumptions!$C$56+Assumptions!$H$81*Assumptions!$C$57)*Assumptions!T$105</f>
        <v>56.507635443038</v>
      </c>
      <c r="U90" s="65" t="n">
        <f aca="false">(Assumptions!$C$81*Assumptions!$C$52+Assumptions!$D$81*Assumptions!$C$53+Assumptions!$E$81*Assumptions!$C$54+Assumptions!$F$81*Assumptions!$C$55+Assumptions!$G$81*Assumptions!$C$56+Assumptions!$H$81*Assumptions!$C$57)*Assumptions!U$105</f>
        <v>56.507635443038</v>
      </c>
      <c r="V90" s="65" t="n">
        <f aca="false">(Assumptions!$C$81*Assumptions!$C$52+Assumptions!$D$81*Assumptions!$C$53+Assumptions!$E$81*Assumptions!$C$54+Assumptions!$F$81*Assumptions!$C$55+Assumptions!$G$81*Assumptions!$C$56+Assumptions!$H$81*Assumptions!$C$57)*Assumptions!V$105</f>
        <v>56.507635443038</v>
      </c>
      <c r="W90" s="65" t="n">
        <f aca="false">(Assumptions!$C$81*Assumptions!$C$52+Assumptions!$D$81*Assumptions!$C$53+Assumptions!$E$81*Assumptions!$C$54+Assumptions!$F$81*Assumptions!$C$55+Assumptions!$G$81*Assumptions!$C$56+Assumptions!$H$81*Assumptions!$C$57)*Assumptions!W$105</f>
        <v>56.507635443038</v>
      </c>
      <c r="X90" s="65" t="n">
        <f aca="false">(Assumptions!$C$81*Assumptions!$C$52+Assumptions!$D$81*Assumptions!$C$53+Assumptions!$E$81*Assumptions!$C$54+Assumptions!$F$81*Assumptions!$C$55+Assumptions!$G$81*Assumptions!$C$56+Assumptions!$H$81*Assumptions!$C$57)*Assumptions!X$105</f>
        <v>56.507635443038</v>
      </c>
      <c r="Y90" s="65" t="n">
        <f aca="false">(Assumptions!$C$81*Assumptions!$C$52+Assumptions!$D$81*Assumptions!$C$53+Assumptions!$E$81*Assumptions!$C$54+Assumptions!$F$81*Assumptions!$C$55+Assumptions!$G$81*Assumptions!$C$56+Assumptions!$H$81*Assumptions!$C$57)*Assumptions!Y$105</f>
        <v>56.507635443038</v>
      </c>
      <c r="Z90" s="65" t="n">
        <f aca="false">(Assumptions!$C$81*Assumptions!$C$52+Assumptions!$D$81*Assumptions!$C$53+Assumptions!$E$81*Assumptions!$C$54+Assumptions!$F$81*Assumptions!$C$55+Assumptions!$G$81*Assumptions!$C$56+Assumptions!$H$81*Assumptions!$C$57)*Assumptions!Z$105</f>
        <v>56.507635443038</v>
      </c>
      <c r="AA90" s="65" t="n">
        <f aca="false">(Assumptions!$C$81*Assumptions!$C$52+Assumptions!$D$81*Assumptions!$C$53+Assumptions!$E$81*Assumptions!$C$54+Assumptions!$F$81*Assumptions!$C$55+Assumptions!$G$81*Assumptions!$C$56+Assumptions!$H$81*Assumptions!$C$57)*Assumptions!AA$105</f>
        <v>56.507635443038</v>
      </c>
      <c r="AB90" s="65" t="n">
        <f aca="false">(Assumptions!$C$81*Assumptions!$C$52+Assumptions!$D$81*Assumptions!$C$53+Assumptions!$E$81*Assumptions!$C$54+Assumptions!$F$81*Assumptions!$C$55+Assumptions!$G$81*Assumptions!$C$56+Assumptions!$H$81*Assumptions!$C$57)*Assumptions!AB$105</f>
        <v>56.507635443038</v>
      </c>
    </row>
    <row r="91" customFormat="false" ht="15" hidden="false" customHeight="false" outlineLevel="0" collapsed="false">
      <c r="A91" s="28" t="s">
        <v>1072</v>
      </c>
      <c r="B91" s="58" t="s">
        <v>1069</v>
      </c>
      <c r="C91" s="64" t="n">
        <f aca="false">AVERAGE(E91:P91)</f>
        <v>52.9164372842348</v>
      </c>
      <c r="D91" s="64" t="n">
        <f aca="false">AVERAGE(Q91:AB91)</f>
        <v>55.2976769620253</v>
      </c>
      <c r="E91" s="65" t="n">
        <f aca="false">(Assumptions!$C$82*Assumptions!$C$52+Assumptions!$D$82*Assumptions!$C$53+Assumptions!$E$82*Assumptions!$C$54+Assumptions!$F$82*Assumptions!$C$55+Assumptions!$G$82*Assumptions!$C$56+Assumptions!$H$82*Assumptions!$C$57)*Assumptions!E$105</f>
        <v>52.9164372842348</v>
      </c>
      <c r="F91" s="65" t="n">
        <f aca="false">(Assumptions!$C$82*Assumptions!$C$52+Assumptions!$D$82*Assumptions!$C$53+Assumptions!$E$82*Assumptions!$C$54+Assumptions!$F$82*Assumptions!$C$55+Assumptions!$G$82*Assumptions!$C$56+Assumptions!$H$82*Assumptions!$C$57)*Assumptions!F$105</f>
        <v>52.9164372842348</v>
      </c>
      <c r="G91" s="65" t="n">
        <f aca="false">(Assumptions!$C$82*Assumptions!$C$52+Assumptions!$D$82*Assumptions!$C$53+Assumptions!$E$82*Assumptions!$C$54+Assumptions!$F$82*Assumptions!$C$55+Assumptions!$G$82*Assumptions!$C$56+Assumptions!$H$82*Assumptions!$C$57)*Assumptions!G$105</f>
        <v>52.9164372842348</v>
      </c>
      <c r="H91" s="65" t="n">
        <f aca="false">(Assumptions!$C$82*Assumptions!$C$52+Assumptions!$D$82*Assumptions!$C$53+Assumptions!$E$82*Assumptions!$C$54+Assumptions!$F$82*Assumptions!$C$55+Assumptions!$G$82*Assumptions!$C$56+Assumptions!$H$82*Assumptions!$C$57)*Assumptions!H$105</f>
        <v>52.9164372842348</v>
      </c>
      <c r="I91" s="65" t="n">
        <f aca="false">(Assumptions!$C$82*Assumptions!$C$52+Assumptions!$D$82*Assumptions!$C$53+Assumptions!$E$82*Assumptions!$C$54+Assumptions!$F$82*Assumptions!$C$55+Assumptions!$G$82*Assumptions!$C$56+Assumptions!$H$82*Assumptions!$C$57)*Assumptions!I$105</f>
        <v>52.9164372842348</v>
      </c>
      <c r="J91" s="65" t="n">
        <f aca="false">(Assumptions!$C$82*Assumptions!$C$52+Assumptions!$D$82*Assumptions!$C$53+Assumptions!$E$82*Assumptions!$C$54+Assumptions!$F$82*Assumptions!$C$55+Assumptions!$G$82*Assumptions!$C$56+Assumptions!$H$82*Assumptions!$C$57)*Assumptions!J$105</f>
        <v>52.9164372842348</v>
      </c>
      <c r="K91" s="65" t="n">
        <f aca="false">(Assumptions!$C$82*Assumptions!$C$52+Assumptions!$D$82*Assumptions!$C$53+Assumptions!$E$82*Assumptions!$C$54+Assumptions!$F$82*Assumptions!$C$55+Assumptions!$G$82*Assumptions!$C$56+Assumptions!$H$82*Assumptions!$C$57)*Assumptions!K$105</f>
        <v>52.9164372842348</v>
      </c>
      <c r="L91" s="65" t="n">
        <f aca="false">(Assumptions!$C$82*Assumptions!$C$52+Assumptions!$D$82*Assumptions!$C$53+Assumptions!$E$82*Assumptions!$C$54+Assumptions!$F$82*Assumptions!$C$55+Assumptions!$G$82*Assumptions!$C$56+Assumptions!$H$82*Assumptions!$C$57)*Assumptions!L$105</f>
        <v>52.9164372842348</v>
      </c>
      <c r="M91" s="65" t="n">
        <f aca="false">(Assumptions!$C$82*Assumptions!$C$52+Assumptions!$D$82*Assumptions!$C$53+Assumptions!$E$82*Assumptions!$C$54+Assumptions!$F$82*Assumptions!$C$55+Assumptions!$G$82*Assumptions!$C$56+Assumptions!$H$82*Assumptions!$C$57)*Assumptions!M$105</f>
        <v>52.9164372842348</v>
      </c>
      <c r="N91" s="65" t="n">
        <f aca="false">(Assumptions!$C$82*Assumptions!$C$52+Assumptions!$D$82*Assumptions!$C$53+Assumptions!$E$82*Assumptions!$C$54+Assumptions!$F$82*Assumptions!$C$55+Assumptions!$G$82*Assumptions!$C$56+Assumptions!$H$82*Assumptions!$C$57)*Assumptions!N$105</f>
        <v>52.9164372842348</v>
      </c>
      <c r="O91" s="65" t="n">
        <f aca="false">(Assumptions!$C$82*Assumptions!$C$52+Assumptions!$D$82*Assumptions!$C$53+Assumptions!$E$82*Assumptions!$C$54+Assumptions!$F$82*Assumptions!$C$55+Assumptions!$G$82*Assumptions!$C$56+Assumptions!$H$82*Assumptions!$C$57)*Assumptions!O$105</f>
        <v>52.9164372842348</v>
      </c>
      <c r="P91" s="65" t="n">
        <f aca="false">(Assumptions!$C$82*Assumptions!$C$52+Assumptions!$D$82*Assumptions!$C$53+Assumptions!$E$82*Assumptions!$C$54+Assumptions!$F$82*Assumptions!$C$55+Assumptions!$G$82*Assumptions!$C$56+Assumptions!$H$82*Assumptions!$C$57)*Assumptions!P$105</f>
        <v>52.9164372842348</v>
      </c>
      <c r="Q91" s="65" t="n">
        <f aca="false">(Assumptions!$C$82*Assumptions!$C$52+Assumptions!$D$82*Assumptions!$C$53+Assumptions!$E$82*Assumptions!$C$54+Assumptions!$F$82*Assumptions!$C$55+Assumptions!$G$82*Assumptions!$C$56+Assumptions!$H$82*Assumptions!$C$57)*Assumptions!Q$105</f>
        <v>55.2976769620253</v>
      </c>
      <c r="R91" s="65" t="n">
        <f aca="false">(Assumptions!$C$82*Assumptions!$C$52+Assumptions!$D$82*Assumptions!$C$53+Assumptions!$E$82*Assumptions!$C$54+Assumptions!$F$82*Assumptions!$C$55+Assumptions!$G$82*Assumptions!$C$56+Assumptions!$H$82*Assumptions!$C$57)*Assumptions!R$105</f>
        <v>55.2976769620253</v>
      </c>
      <c r="S91" s="65" t="n">
        <f aca="false">(Assumptions!$C$82*Assumptions!$C$52+Assumptions!$D$82*Assumptions!$C$53+Assumptions!$E$82*Assumptions!$C$54+Assumptions!$F$82*Assumptions!$C$55+Assumptions!$G$82*Assumptions!$C$56+Assumptions!$H$82*Assumptions!$C$57)*Assumptions!S$105</f>
        <v>55.2976769620253</v>
      </c>
      <c r="T91" s="65" t="n">
        <f aca="false">(Assumptions!$C$82*Assumptions!$C$52+Assumptions!$D$82*Assumptions!$C$53+Assumptions!$E$82*Assumptions!$C$54+Assumptions!$F$82*Assumptions!$C$55+Assumptions!$G$82*Assumptions!$C$56+Assumptions!$H$82*Assumptions!$C$57)*Assumptions!T$105</f>
        <v>55.2976769620253</v>
      </c>
      <c r="U91" s="65" t="n">
        <f aca="false">(Assumptions!$C$82*Assumptions!$C$52+Assumptions!$D$82*Assumptions!$C$53+Assumptions!$E$82*Assumptions!$C$54+Assumptions!$F$82*Assumptions!$C$55+Assumptions!$G$82*Assumptions!$C$56+Assumptions!$H$82*Assumptions!$C$57)*Assumptions!U$105</f>
        <v>55.2976769620253</v>
      </c>
      <c r="V91" s="65" t="n">
        <f aca="false">(Assumptions!$C$82*Assumptions!$C$52+Assumptions!$D$82*Assumptions!$C$53+Assumptions!$E$82*Assumptions!$C$54+Assumptions!$F$82*Assumptions!$C$55+Assumptions!$G$82*Assumptions!$C$56+Assumptions!$H$82*Assumptions!$C$57)*Assumptions!V$105</f>
        <v>55.2976769620253</v>
      </c>
      <c r="W91" s="65" t="n">
        <f aca="false">(Assumptions!$C$82*Assumptions!$C$52+Assumptions!$D$82*Assumptions!$C$53+Assumptions!$E$82*Assumptions!$C$54+Assumptions!$F$82*Assumptions!$C$55+Assumptions!$G$82*Assumptions!$C$56+Assumptions!$H$82*Assumptions!$C$57)*Assumptions!W$105</f>
        <v>55.2976769620253</v>
      </c>
      <c r="X91" s="65" t="n">
        <f aca="false">(Assumptions!$C$82*Assumptions!$C$52+Assumptions!$D$82*Assumptions!$C$53+Assumptions!$E$82*Assumptions!$C$54+Assumptions!$F$82*Assumptions!$C$55+Assumptions!$G$82*Assumptions!$C$56+Assumptions!$H$82*Assumptions!$C$57)*Assumptions!X$105</f>
        <v>55.2976769620253</v>
      </c>
      <c r="Y91" s="65" t="n">
        <f aca="false">(Assumptions!$C$82*Assumptions!$C$52+Assumptions!$D$82*Assumptions!$C$53+Assumptions!$E$82*Assumptions!$C$54+Assumptions!$F$82*Assumptions!$C$55+Assumptions!$G$82*Assumptions!$C$56+Assumptions!$H$82*Assumptions!$C$57)*Assumptions!Y$105</f>
        <v>55.2976769620253</v>
      </c>
      <c r="Z91" s="65" t="n">
        <f aca="false">(Assumptions!$C$82*Assumptions!$C$52+Assumptions!$D$82*Assumptions!$C$53+Assumptions!$E$82*Assumptions!$C$54+Assumptions!$F$82*Assumptions!$C$55+Assumptions!$G$82*Assumptions!$C$56+Assumptions!$H$82*Assumptions!$C$57)*Assumptions!Z$105</f>
        <v>55.2976769620253</v>
      </c>
      <c r="AA91" s="65" t="n">
        <f aca="false">(Assumptions!$C$82*Assumptions!$C$52+Assumptions!$D$82*Assumptions!$C$53+Assumptions!$E$82*Assumptions!$C$54+Assumptions!$F$82*Assumptions!$C$55+Assumptions!$G$82*Assumptions!$C$56+Assumptions!$H$82*Assumptions!$C$57)*Assumptions!AA$105</f>
        <v>55.2976769620253</v>
      </c>
      <c r="AB91" s="65" t="n">
        <f aca="false">(Assumptions!$C$82*Assumptions!$C$52+Assumptions!$D$82*Assumptions!$C$53+Assumptions!$E$82*Assumptions!$C$54+Assumptions!$F$82*Assumptions!$C$55+Assumptions!$G$82*Assumptions!$C$56+Assumptions!$H$82*Assumptions!$C$57)*Assumptions!AB$105</f>
        <v>55.2976769620253</v>
      </c>
    </row>
    <row r="92" customFormat="false" ht="15" hidden="false" customHeight="false" outlineLevel="0" collapsed="false">
      <c r="A92" s="28" t="s">
        <v>1073</v>
      </c>
      <c r="B92" s="58" t="s">
        <v>1069</v>
      </c>
      <c r="C92" s="64" t="n">
        <f aca="false">AVERAGE(E92:P92)</f>
        <v>55.0597008055236</v>
      </c>
      <c r="D92" s="64" t="n">
        <f aca="false">AVERAGE(Q92:AB92)</f>
        <v>57.5373873417721</v>
      </c>
      <c r="E92" s="65" t="n">
        <f aca="false">(Assumptions!$C$83*Assumptions!$C$52+Assumptions!$D$83*Assumptions!$C$53+Assumptions!$E$83*Assumptions!$C$54+Assumptions!$F$83*Assumptions!$C$55+Assumptions!$G$83*Assumptions!$C$56+Assumptions!$H$83*Assumptions!$C$57)*Assumptions!E$105</f>
        <v>55.0597008055236</v>
      </c>
      <c r="F92" s="65" t="n">
        <f aca="false">(Assumptions!$C$83*Assumptions!$C$52+Assumptions!$D$83*Assumptions!$C$53+Assumptions!$E$83*Assumptions!$C$54+Assumptions!$F$83*Assumptions!$C$55+Assumptions!$G$83*Assumptions!$C$56+Assumptions!$H$83*Assumptions!$C$57)*Assumptions!F$105</f>
        <v>55.0597008055236</v>
      </c>
      <c r="G92" s="65" t="n">
        <f aca="false">(Assumptions!$C$83*Assumptions!$C$52+Assumptions!$D$83*Assumptions!$C$53+Assumptions!$E$83*Assumptions!$C$54+Assumptions!$F$83*Assumptions!$C$55+Assumptions!$G$83*Assumptions!$C$56+Assumptions!$H$83*Assumptions!$C$57)*Assumptions!G$105</f>
        <v>55.0597008055236</v>
      </c>
      <c r="H92" s="65" t="n">
        <f aca="false">(Assumptions!$C$83*Assumptions!$C$52+Assumptions!$D$83*Assumptions!$C$53+Assumptions!$E$83*Assumptions!$C$54+Assumptions!$F$83*Assumptions!$C$55+Assumptions!$G$83*Assumptions!$C$56+Assumptions!$H$83*Assumptions!$C$57)*Assumptions!H$105</f>
        <v>55.0597008055236</v>
      </c>
      <c r="I92" s="65" t="n">
        <f aca="false">(Assumptions!$C$83*Assumptions!$C$52+Assumptions!$D$83*Assumptions!$C$53+Assumptions!$E$83*Assumptions!$C$54+Assumptions!$F$83*Assumptions!$C$55+Assumptions!$G$83*Assumptions!$C$56+Assumptions!$H$83*Assumptions!$C$57)*Assumptions!I$105</f>
        <v>55.0597008055236</v>
      </c>
      <c r="J92" s="65" t="n">
        <f aca="false">(Assumptions!$C$83*Assumptions!$C$52+Assumptions!$D$83*Assumptions!$C$53+Assumptions!$E$83*Assumptions!$C$54+Assumptions!$F$83*Assumptions!$C$55+Assumptions!$G$83*Assumptions!$C$56+Assumptions!$H$83*Assumptions!$C$57)*Assumptions!J$105</f>
        <v>55.0597008055236</v>
      </c>
      <c r="K92" s="65" t="n">
        <f aca="false">(Assumptions!$C$83*Assumptions!$C$52+Assumptions!$D$83*Assumptions!$C$53+Assumptions!$E$83*Assumptions!$C$54+Assumptions!$F$83*Assumptions!$C$55+Assumptions!$G$83*Assumptions!$C$56+Assumptions!$H$83*Assumptions!$C$57)*Assumptions!K$105</f>
        <v>55.0597008055236</v>
      </c>
      <c r="L92" s="65" t="n">
        <f aca="false">(Assumptions!$C$83*Assumptions!$C$52+Assumptions!$D$83*Assumptions!$C$53+Assumptions!$E$83*Assumptions!$C$54+Assumptions!$F$83*Assumptions!$C$55+Assumptions!$G$83*Assumptions!$C$56+Assumptions!$H$83*Assumptions!$C$57)*Assumptions!L$105</f>
        <v>55.0597008055236</v>
      </c>
      <c r="M92" s="65" t="n">
        <f aca="false">(Assumptions!$C$83*Assumptions!$C$52+Assumptions!$D$83*Assumptions!$C$53+Assumptions!$E$83*Assumptions!$C$54+Assumptions!$F$83*Assumptions!$C$55+Assumptions!$G$83*Assumptions!$C$56+Assumptions!$H$83*Assumptions!$C$57)*Assumptions!M$105</f>
        <v>55.0597008055236</v>
      </c>
      <c r="N92" s="65" t="n">
        <f aca="false">(Assumptions!$C$83*Assumptions!$C$52+Assumptions!$D$83*Assumptions!$C$53+Assumptions!$E$83*Assumptions!$C$54+Assumptions!$F$83*Assumptions!$C$55+Assumptions!$G$83*Assumptions!$C$56+Assumptions!$H$83*Assumptions!$C$57)*Assumptions!N$105</f>
        <v>55.0597008055236</v>
      </c>
      <c r="O92" s="65" t="n">
        <f aca="false">(Assumptions!$C$83*Assumptions!$C$52+Assumptions!$D$83*Assumptions!$C$53+Assumptions!$E$83*Assumptions!$C$54+Assumptions!$F$83*Assumptions!$C$55+Assumptions!$G$83*Assumptions!$C$56+Assumptions!$H$83*Assumptions!$C$57)*Assumptions!O$105</f>
        <v>55.0597008055236</v>
      </c>
      <c r="P92" s="65" t="n">
        <f aca="false">(Assumptions!$C$83*Assumptions!$C$52+Assumptions!$D$83*Assumptions!$C$53+Assumptions!$E$83*Assumptions!$C$54+Assumptions!$F$83*Assumptions!$C$55+Assumptions!$G$83*Assumptions!$C$56+Assumptions!$H$83*Assumptions!$C$57)*Assumptions!P$105</f>
        <v>55.0597008055236</v>
      </c>
      <c r="Q92" s="65" t="n">
        <f aca="false">(Assumptions!$C$83*Assumptions!$C$52+Assumptions!$D$83*Assumptions!$C$53+Assumptions!$E$83*Assumptions!$C$54+Assumptions!$F$83*Assumptions!$C$55+Assumptions!$G$83*Assumptions!$C$56+Assumptions!$H$83*Assumptions!$C$57)*Assumptions!Q$105</f>
        <v>57.5373873417721</v>
      </c>
      <c r="R92" s="65" t="n">
        <f aca="false">(Assumptions!$C$83*Assumptions!$C$52+Assumptions!$D$83*Assumptions!$C$53+Assumptions!$E$83*Assumptions!$C$54+Assumptions!$F$83*Assumptions!$C$55+Assumptions!$G$83*Assumptions!$C$56+Assumptions!$H$83*Assumptions!$C$57)*Assumptions!R$105</f>
        <v>57.5373873417721</v>
      </c>
      <c r="S92" s="65" t="n">
        <f aca="false">(Assumptions!$C$83*Assumptions!$C$52+Assumptions!$D$83*Assumptions!$C$53+Assumptions!$E$83*Assumptions!$C$54+Assumptions!$F$83*Assumptions!$C$55+Assumptions!$G$83*Assumptions!$C$56+Assumptions!$H$83*Assumptions!$C$57)*Assumptions!S$105</f>
        <v>57.5373873417721</v>
      </c>
      <c r="T92" s="65" t="n">
        <f aca="false">(Assumptions!$C$83*Assumptions!$C$52+Assumptions!$D$83*Assumptions!$C$53+Assumptions!$E$83*Assumptions!$C$54+Assumptions!$F$83*Assumptions!$C$55+Assumptions!$G$83*Assumptions!$C$56+Assumptions!$H$83*Assumptions!$C$57)*Assumptions!T$105</f>
        <v>57.5373873417721</v>
      </c>
      <c r="U92" s="65" t="n">
        <f aca="false">(Assumptions!$C$83*Assumptions!$C$52+Assumptions!$D$83*Assumptions!$C$53+Assumptions!$E$83*Assumptions!$C$54+Assumptions!$F$83*Assumptions!$C$55+Assumptions!$G$83*Assumptions!$C$56+Assumptions!$H$83*Assumptions!$C$57)*Assumptions!U$105</f>
        <v>57.5373873417721</v>
      </c>
      <c r="V92" s="65" t="n">
        <f aca="false">(Assumptions!$C$83*Assumptions!$C$52+Assumptions!$D$83*Assumptions!$C$53+Assumptions!$E$83*Assumptions!$C$54+Assumptions!$F$83*Assumptions!$C$55+Assumptions!$G$83*Assumptions!$C$56+Assumptions!$H$83*Assumptions!$C$57)*Assumptions!V$105</f>
        <v>57.5373873417721</v>
      </c>
      <c r="W92" s="65" t="n">
        <f aca="false">(Assumptions!$C$83*Assumptions!$C$52+Assumptions!$D$83*Assumptions!$C$53+Assumptions!$E$83*Assumptions!$C$54+Assumptions!$F$83*Assumptions!$C$55+Assumptions!$G$83*Assumptions!$C$56+Assumptions!$H$83*Assumptions!$C$57)*Assumptions!W$105</f>
        <v>57.5373873417721</v>
      </c>
      <c r="X92" s="65" t="n">
        <f aca="false">(Assumptions!$C$83*Assumptions!$C$52+Assumptions!$D$83*Assumptions!$C$53+Assumptions!$E$83*Assumptions!$C$54+Assumptions!$F$83*Assumptions!$C$55+Assumptions!$G$83*Assumptions!$C$56+Assumptions!$H$83*Assumptions!$C$57)*Assumptions!X$105</f>
        <v>57.5373873417721</v>
      </c>
      <c r="Y92" s="65" t="n">
        <f aca="false">(Assumptions!$C$83*Assumptions!$C$52+Assumptions!$D$83*Assumptions!$C$53+Assumptions!$E$83*Assumptions!$C$54+Assumptions!$F$83*Assumptions!$C$55+Assumptions!$G$83*Assumptions!$C$56+Assumptions!$H$83*Assumptions!$C$57)*Assumptions!Y$105</f>
        <v>57.5373873417721</v>
      </c>
      <c r="Z92" s="65" t="n">
        <f aca="false">(Assumptions!$C$83*Assumptions!$C$52+Assumptions!$D$83*Assumptions!$C$53+Assumptions!$E$83*Assumptions!$C$54+Assumptions!$F$83*Assumptions!$C$55+Assumptions!$G$83*Assumptions!$C$56+Assumptions!$H$83*Assumptions!$C$57)*Assumptions!Z$105</f>
        <v>57.5373873417721</v>
      </c>
      <c r="AA92" s="65" t="n">
        <f aca="false">(Assumptions!$C$83*Assumptions!$C$52+Assumptions!$D$83*Assumptions!$C$53+Assumptions!$E$83*Assumptions!$C$54+Assumptions!$F$83*Assumptions!$C$55+Assumptions!$G$83*Assumptions!$C$56+Assumptions!$H$83*Assumptions!$C$57)*Assumptions!AA$105</f>
        <v>57.5373873417721</v>
      </c>
      <c r="AB92" s="65" t="n">
        <f aca="false">(Assumptions!$C$83*Assumptions!$C$52+Assumptions!$D$83*Assumptions!$C$53+Assumptions!$E$83*Assumptions!$C$54+Assumptions!$F$83*Assumptions!$C$55+Assumptions!$G$83*Assumptions!$C$56+Assumptions!$H$83*Assumptions!$C$57)*Assumptions!AB$105</f>
        <v>57.5373873417721</v>
      </c>
    </row>
    <row r="93" customFormat="false" ht="15" hidden="false" customHeight="false" outlineLevel="0" collapsed="false">
      <c r="A93" s="28" t="s">
        <v>1074</v>
      </c>
      <c r="B93" s="58" t="s">
        <v>1069</v>
      </c>
      <c r="C93" s="64" t="n">
        <f aca="false">AVERAGE(E93:P93)</f>
        <v>47.3611967779056</v>
      </c>
      <c r="D93" s="64" t="n">
        <f aca="false">AVERAGE(Q93:AB93)</f>
        <v>49.4924506329114</v>
      </c>
      <c r="E93" s="65" t="n">
        <f aca="false">(Assumptions!$C$84*Assumptions!$C$52+Assumptions!$D$84*Assumptions!$C$53+Assumptions!$E$84*Assumptions!$C$54+Assumptions!$F$84*Assumptions!$C$55+Assumptions!$G$84*Assumptions!$C$56+Assumptions!$H$84*Assumptions!$C$57)*Assumptions!E$105</f>
        <v>47.3611967779057</v>
      </c>
      <c r="F93" s="65" t="n">
        <f aca="false">(Assumptions!$C$84*Assumptions!$C$52+Assumptions!$D$84*Assumptions!$C$53+Assumptions!$E$84*Assumptions!$C$54+Assumptions!$F$84*Assumptions!$C$55+Assumptions!$G$84*Assumptions!$C$56+Assumptions!$H$84*Assumptions!$C$57)*Assumptions!F$105</f>
        <v>47.3611967779057</v>
      </c>
      <c r="G93" s="65" t="n">
        <f aca="false">(Assumptions!$C$84*Assumptions!$C$52+Assumptions!$D$84*Assumptions!$C$53+Assumptions!$E$84*Assumptions!$C$54+Assumptions!$F$84*Assumptions!$C$55+Assumptions!$G$84*Assumptions!$C$56+Assumptions!$H$84*Assumptions!$C$57)*Assumptions!G$105</f>
        <v>47.3611967779057</v>
      </c>
      <c r="H93" s="65" t="n">
        <f aca="false">(Assumptions!$C$84*Assumptions!$C$52+Assumptions!$D$84*Assumptions!$C$53+Assumptions!$E$84*Assumptions!$C$54+Assumptions!$F$84*Assumptions!$C$55+Assumptions!$G$84*Assumptions!$C$56+Assumptions!$H$84*Assumptions!$C$57)*Assumptions!H$105</f>
        <v>47.3611967779057</v>
      </c>
      <c r="I93" s="65" t="n">
        <f aca="false">(Assumptions!$C$84*Assumptions!$C$52+Assumptions!$D$84*Assumptions!$C$53+Assumptions!$E$84*Assumptions!$C$54+Assumptions!$F$84*Assumptions!$C$55+Assumptions!$G$84*Assumptions!$C$56+Assumptions!$H$84*Assumptions!$C$57)*Assumptions!I$105</f>
        <v>47.3611967779057</v>
      </c>
      <c r="J93" s="65" t="n">
        <f aca="false">(Assumptions!$C$84*Assumptions!$C$52+Assumptions!$D$84*Assumptions!$C$53+Assumptions!$E$84*Assumptions!$C$54+Assumptions!$F$84*Assumptions!$C$55+Assumptions!$G$84*Assumptions!$C$56+Assumptions!$H$84*Assumptions!$C$57)*Assumptions!J$105</f>
        <v>47.3611967779057</v>
      </c>
      <c r="K93" s="65" t="n">
        <f aca="false">(Assumptions!$C$84*Assumptions!$C$52+Assumptions!$D$84*Assumptions!$C$53+Assumptions!$E$84*Assumptions!$C$54+Assumptions!$F$84*Assumptions!$C$55+Assumptions!$G$84*Assumptions!$C$56+Assumptions!$H$84*Assumptions!$C$57)*Assumptions!K$105</f>
        <v>47.3611967779057</v>
      </c>
      <c r="L93" s="65" t="n">
        <f aca="false">(Assumptions!$C$84*Assumptions!$C$52+Assumptions!$D$84*Assumptions!$C$53+Assumptions!$E$84*Assumptions!$C$54+Assumptions!$F$84*Assumptions!$C$55+Assumptions!$G$84*Assumptions!$C$56+Assumptions!$H$84*Assumptions!$C$57)*Assumptions!L$105</f>
        <v>47.3611967779057</v>
      </c>
      <c r="M93" s="65" t="n">
        <f aca="false">(Assumptions!$C$84*Assumptions!$C$52+Assumptions!$D$84*Assumptions!$C$53+Assumptions!$E$84*Assumptions!$C$54+Assumptions!$F$84*Assumptions!$C$55+Assumptions!$G$84*Assumptions!$C$56+Assumptions!$H$84*Assumptions!$C$57)*Assumptions!M$105</f>
        <v>47.3611967779057</v>
      </c>
      <c r="N93" s="65" t="n">
        <f aca="false">(Assumptions!$C$84*Assumptions!$C$52+Assumptions!$D$84*Assumptions!$C$53+Assumptions!$E$84*Assumptions!$C$54+Assumptions!$F$84*Assumptions!$C$55+Assumptions!$G$84*Assumptions!$C$56+Assumptions!$H$84*Assumptions!$C$57)*Assumptions!N$105</f>
        <v>47.3611967779057</v>
      </c>
      <c r="O93" s="65" t="n">
        <f aca="false">(Assumptions!$C$84*Assumptions!$C$52+Assumptions!$D$84*Assumptions!$C$53+Assumptions!$E$84*Assumptions!$C$54+Assumptions!$F$84*Assumptions!$C$55+Assumptions!$G$84*Assumptions!$C$56+Assumptions!$H$84*Assumptions!$C$57)*Assumptions!O$105</f>
        <v>47.3611967779057</v>
      </c>
      <c r="P93" s="65" t="n">
        <f aca="false">(Assumptions!$C$84*Assumptions!$C$52+Assumptions!$D$84*Assumptions!$C$53+Assumptions!$E$84*Assumptions!$C$54+Assumptions!$F$84*Assumptions!$C$55+Assumptions!$G$84*Assumptions!$C$56+Assumptions!$H$84*Assumptions!$C$57)*Assumptions!P$105</f>
        <v>47.3611967779057</v>
      </c>
      <c r="Q93" s="65" t="n">
        <f aca="false">(Assumptions!$C$84*Assumptions!$C$52+Assumptions!$D$84*Assumptions!$C$53+Assumptions!$E$84*Assumptions!$C$54+Assumptions!$F$84*Assumptions!$C$55+Assumptions!$G$84*Assumptions!$C$56+Assumptions!$H$84*Assumptions!$C$57)*Assumptions!Q$105</f>
        <v>49.4924506329114</v>
      </c>
      <c r="R93" s="65" t="n">
        <f aca="false">(Assumptions!$C$84*Assumptions!$C$52+Assumptions!$D$84*Assumptions!$C$53+Assumptions!$E$84*Assumptions!$C$54+Assumptions!$F$84*Assumptions!$C$55+Assumptions!$G$84*Assumptions!$C$56+Assumptions!$H$84*Assumptions!$C$57)*Assumptions!R$105</f>
        <v>49.4924506329114</v>
      </c>
      <c r="S93" s="65" t="n">
        <f aca="false">(Assumptions!$C$84*Assumptions!$C$52+Assumptions!$D$84*Assumptions!$C$53+Assumptions!$E$84*Assumptions!$C$54+Assumptions!$F$84*Assumptions!$C$55+Assumptions!$G$84*Assumptions!$C$56+Assumptions!$H$84*Assumptions!$C$57)*Assumptions!S$105</f>
        <v>49.4924506329114</v>
      </c>
      <c r="T93" s="65" t="n">
        <f aca="false">(Assumptions!$C$84*Assumptions!$C$52+Assumptions!$D$84*Assumptions!$C$53+Assumptions!$E$84*Assumptions!$C$54+Assumptions!$F$84*Assumptions!$C$55+Assumptions!$G$84*Assumptions!$C$56+Assumptions!$H$84*Assumptions!$C$57)*Assumptions!T$105</f>
        <v>49.4924506329114</v>
      </c>
      <c r="U93" s="65" t="n">
        <f aca="false">(Assumptions!$C$84*Assumptions!$C$52+Assumptions!$D$84*Assumptions!$C$53+Assumptions!$E$84*Assumptions!$C$54+Assumptions!$F$84*Assumptions!$C$55+Assumptions!$G$84*Assumptions!$C$56+Assumptions!$H$84*Assumptions!$C$57)*Assumptions!U$105</f>
        <v>49.4924506329114</v>
      </c>
      <c r="V93" s="65" t="n">
        <f aca="false">(Assumptions!$C$84*Assumptions!$C$52+Assumptions!$D$84*Assumptions!$C$53+Assumptions!$E$84*Assumptions!$C$54+Assumptions!$F$84*Assumptions!$C$55+Assumptions!$G$84*Assumptions!$C$56+Assumptions!$H$84*Assumptions!$C$57)*Assumptions!V$105</f>
        <v>49.4924506329114</v>
      </c>
      <c r="W93" s="65" t="n">
        <f aca="false">(Assumptions!$C$84*Assumptions!$C$52+Assumptions!$D$84*Assumptions!$C$53+Assumptions!$E$84*Assumptions!$C$54+Assumptions!$F$84*Assumptions!$C$55+Assumptions!$G$84*Assumptions!$C$56+Assumptions!$H$84*Assumptions!$C$57)*Assumptions!W$105</f>
        <v>49.4924506329114</v>
      </c>
      <c r="X93" s="65" t="n">
        <f aca="false">(Assumptions!$C$84*Assumptions!$C$52+Assumptions!$D$84*Assumptions!$C$53+Assumptions!$E$84*Assumptions!$C$54+Assumptions!$F$84*Assumptions!$C$55+Assumptions!$G$84*Assumptions!$C$56+Assumptions!$H$84*Assumptions!$C$57)*Assumptions!X$105</f>
        <v>49.4924506329114</v>
      </c>
      <c r="Y93" s="65" t="n">
        <f aca="false">(Assumptions!$C$84*Assumptions!$C$52+Assumptions!$D$84*Assumptions!$C$53+Assumptions!$E$84*Assumptions!$C$54+Assumptions!$F$84*Assumptions!$C$55+Assumptions!$G$84*Assumptions!$C$56+Assumptions!$H$84*Assumptions!$C$57)*Assumptions!Y$105</f>
        <v>49.4924506329114</v>
      </c>
      <c r="Z93" s="65" t="n">
        <f aca="false">(Assumptions!$C$84*Assumptions!$C$52+Assumptions!$D$84*Assumptions!$C$53+Assumptions!$E$84*Assumptions!$C$54+Assumptions!$F$84*Assumptions!$C$55+Assumptions!$G$84*Assumptions!$C$56+Assumptions!$H$84*Assumptions!$C$57)*Assumptions!Z$105</f>
        <v>49.4924506329114</v>
      </c>
      <c r="AA93" s="65" t="n">
        <f aca="false">(Assumptions!$C$84*Assumptions!$C$52+Assumptions!$D$84*Assumptions!$C$53+Assumptions!$E$84*Assumptions!$C$54+Assumptions!$F$84*Assumptions!$C$55+Assumptions!$G$84*Assumptions!$C$56+Assumptions!$H$84*Assumptions!$C$57)*Assumptions!AA$105</f>
        <v>49.4924506329114</v>
      </c>
      <c r="AB93" s="65" t="n">
        <f aca="false">(Assumptions!$C$84*Assumptions!$C$52+Assumptions!$D$84*Assumptions!$C$53+Assumptions!$E$84*Assumptions!$C$54+Assumptions!$F$84*Assumptions!$C$55+Assumptions!$G$84*Assumptions!$C$56+Assumptions!$H$84*Assumptions!$C$57)*Assumptions!AB$105</f>
        <v>49.4924506329114</v>
      </c>
    </row>
    <row r="94" customFormat="false" ht="15" hidden="false" customHeight="false" outlineLevel="0" collapsed="false">
      <c r="A94" s="28" t="s">
        <v>1075</v>
      </c>
      <c r="B94" s="58" t="s">
        <v>1076</v>
      </c>
      <c r="C94" s="64" t="n">
        <f aca="false">AVERAGE(E94:P94)</f>
        <v>102.55</v>
      </c>
      <c r="D94" s="64" t="n">
        <f aca="false">AVERAGE(Q94:AB94)</f>
        <v>106.652</v>
      </c>
      <c r="E94" s="65" t="n">
        <f aca="false">(Assumptions!$C$79*Assumptions!$C$34+Assumptions!$D$79*Assumptions!$C$35+Assumptions!$E$79*Assumptions!$C$36+Assumptions!$F$79*Assumptions!$C$37+Assumptions!$G$79*Assumptions!$C$38+Assumptions!$H$79*Assumptions!$C$39)*E72</f>
        <v>102.55</v>
      </c>
      <c r="F94" s="65" t="n">
        <f aca="false">(Assumptions!$C$79*Assumptions!$C$34+Assumptions!$D$79*Assumptions!$C$35+Assumptions!$E$79*Assumptions!$C$36+Assumptions!$F$79*Assumptions!$C$37+Assumptions!$G$79*Assumptions!$C$38+Assumptions!$H$79*Assumptions!$C$39)*F72</f>
        <v>102.55</v>
      </c>
      <c r="G94" s="65" t="n">
        <f aca="false">(Assumptions!$C$79*Assumptions!$C$34+Assumptions!$D$79*Assumptions!$C$35+Assumptions!$E$79*Assumptions!$C$36+Assumptions!$F$79*Assumptions!$C$37+Assumptions!$G$79*Assumptions!$C$38+Assumptions!$H$79*Assumptions!$C$39)*G72</f>
        <v>102.55</v>
      </c>
      <c r="H94" s="65" t="n">
        <f aca="false">(Assumptions!$C$79*Assumptions!$C$34+Assumptions!$D$79*Assumptions!$C$35+Assumptions!$E$79*Assumptions!$C$36+Assumptions!$F$79*Assumptions!$C$37+Assumptions!$G$79*Assumptions!$C$38+Assumptions!$H$79*Assumptions!$C$39)*H72</f>
        <v>102.55</v>
      </c>
      <c r="I94" s="65" t="n">
        <f aca="false">(Assumptions!$C$79*Assumptions!$C$34+Assumptions!$D$79*Assumptions!$C$35+Assumptions!$E$79*Assumptions!$C$36+Assumptions!$F$79*Assumptions!$C$37+Assumptions!$G$79*Assumptions!$C$38+Assumptions!$H$79*Assumptions!$C$39)*I72</f>
        <v>102.55</v>
      </c>
      <c r="J94" s="65" t="n">
        <f aca="false">(Assumptions!$C$79*Assumptions!$C$34+Assumptions!$D$79*Assumptions!$C$35+Assumptions!$E$79*Assumptions!$C$36+Assumptions!$F$79*Assumptions!$C$37+Assumptions!$G$79*Assumptions!$C$38+Assumptions!$H$79*Assumptions!$C$39)*J72</f>
        <v>102.55</v>
      </c>
      <c r="K94" s="65" t="n">
        <f aca="false">(Assumptions!$C$79*Assumptions!$C$34+Assumptions!$D$79*Assumptions!$C$35+Assumptions!$E$79*Assumptions!$C$36+Assumptions!$F$79*Assumptions!$C$37+Assumptions!$G$79*Assumptions!$C$38+Assumptions!$H$79*Assumptions!$C$39)*K72</f>
        <v>102.55</v>
      </c>
      <c r="L94" s="65" t="n">
        <f aca="false">(Assumptions!$C$79*Assumptions!$C$34+Assumptions!$D$79*Assumptions!$C$35+Assumptions!$E$79*Assumptions!$C$36+Assumptions!$F$79*Assumptions!$C$37+Assumptions!$G$79*Assumptions!$C$38+Assumptions!$H$79*Assumptions!$C$39)*L72</f>
        <v>102.55</v>
      </c>
      <c r="M94" s="65" t="n">
        <f aca="false">(Assumptions!$C$79*Assumptions!$C$34+Assumptions!$D$79*Assumptions!$C$35+Assumptions!$E$79*Assumptions!$C$36+Assumptions!$F$79*Assumptions!$C$37+Assumptions!$G$79*Assumptions!$C$38+Assumptions!$H$79*Assumptions!$C$39)*M72</f>
        <v>102.55</v>
      </c>
      <c r="N94" s="65" t="n">
        <f aca="false">(Assumptions!$C$79*Assumptions!$C$34+Assumptions!$D$79*Assumptions!$C$35+Assumptions!$E$79*Assumptions!$C$36+Assumptions!$F$79*Assumptions!$C$37+Assumptions!$G$79*Assumptions!$C$38+Assumptions!$H$79*Assumptions!$C$39)*N72</f>
        <v>102.55</v>
      </c>
      <c r="O94" s="65" t="n">
        <f aca="false">(Assumptions!$C$79*Assumptions!$C$34+Assumptions!$D$79*Assumptions!$C$35+Assumptions!$E$79*Assumptions!$C$36+Assumptions!$F$79*Assumptions!$C$37+Assumptions!$G$79*Assumptions!$C$38+Assumptions!$H$79*Assumptions!$C$39)*O72</f>
        <v>102.55</v>
      </c>
      <c r="P94" s="65" t="n">
        <f aca="false">(Assumptions!$C$79*Assumptions!$C$34+Assumptions!$D$79*Assumptions!$C$35+Assumptions!$E$79*Assumptions!$C$36+Assumptions!$F$79*Assumptions!$C$37+Assumptions!$G$79*Assumptions!$C$38+Assumptions!$H$79*Assumptions!$C$39)*P72</f>
        <v>102.55</v>
      </c>
      <c r="Q94" s="65" t="n">
        <f aca="false">(Assumptions!$C$79*Assumptions!$C$34+Assumptions!$D$79*Assumptions!$C$35+Assumptions!$E$79*Assumptions!$C$36+Assumptions!$F$79*Assumptions!$C$37+Assumptions!$G$79*Assumptions!$C$38+Assumptions!$H$79*Assumptions!$C$39)*Q72</f>
        <v>106.652</v>
      </c>
      <c r="R94" s="65" t="n">
        <f aca="false">(Assumptions!$C$79*Assumptions!$C$34+Assumptions!$D$79*Assumptions!$C$35+Assumptions!$E$79*Assumptions!$C$36+Assumptions!$F$79*Assumptions!$C$37+Assumptions!$G$79*Assumptions!$C$38+Assumptions!$H$79*Assumptions!$C$39)*R72</f>
        <v>106.652</v>
      </c>
      <c r="S94" s="65" t="n">
        <f aca="false">(Assumptions!$C$79*Assumptions!$C$34+Assumptions!$D$79*Assumptions!$C$35+Assumptions!$E$79*Assumptions!$C$36+Assumptions!$F$79*Assumptions!$C$37+Assumptions!$G$79*Assumptions!$C$38+Assumptions!$H$79*Assumptions!$C$39)*S72</f>
        <v>106.652</v>
      </c>
      <c r="T94" s="65" t="n">
        <f aca="false">(Assumptions!$C$79*Assumptions!$C$34+Assumptions!$D$79*Assumptions!$C$35+Assumptions!$E$79*Assumptions!$C$36+Assumptions!$F$79*Assumptions!$C$37+Assumptions!$G$79*Assumptions!$C$38+Assumptions!$H$79*Assumptions!$C$39)*T72</f>
        <v>106.652</v>
      </c>
      <c r="U94" s="65" t="n">
        <f aca="false">(Assumptions!$C$79*Assumptions!$C$34+Assumptions!$D$79*Assumptions!$C$35+Assumptions!$E$79*Assumptions!$C$36+Assumptions!$F$79*Assumptions!$C$37+Assumptions!$G$79*Assumptions!$C$38+Assumptions!$H$79*Assumptions!$C$39)*U72</f>
        <v>106.652</v>
      </c>
      <c r="V94" s="65" t="n">
        <f aca="false">(Assumptions!$C$79*Assumptions!$C$34+Assumptions!$D$79*Assumptions!$C$35+Assumptions!$E$79*Assumptions!$C$36+Assumptions!$F$79*Assumptions!$C$37+Assumptions!$G$79*Assumptions!$C$38+Assumptions!$H$79*Assumptions!$C$39)*V72</f>
        <v>106.652</v>
      </c>
      <c r="W94" s="65" t="n">
        <f aca="false">(Assumptions!$C$79*Assumptions!$C$34+Assumptions!$D$79*Assumptions!$C$35+Assumptions!$E$79*Assumptions!$C$36+Assumptions!$F$79*Assumptions!$C$37+Assumptions!$G$79*Assumptions!$C$38+Assumptions!$H$79*Assumptions!$C$39)*W72</f>
        <v>106.652</v>
      </c>
      <c r="X94" s="65" t="n">
        <f aca="false">(Assumptions!$C$79*Assumptions!$C$34+Assumptions!$D$79*Assumptions!$C$35+Assumptions!$E$79*Assumptions!$C$36+Assumptions!$F$79*Assumptions!$C$37+Assumptions!$G$79*Assumptions!$C$38+Assumptions!$H$79*Assumptions!$C$39)*X72</f>
        <v>106.652</v>
      </c>
      <c r="Y94" s="65" t="n">
        <f aca="false">(Assumptions!$C$79*Assumptions!$C$34+Assumptions!$D$79*Assumptions!$C$35+Assumptions!$E$79*Assumptions!$C$36+Assumptions!$F$79*Assumptions!$C$37+Assumptions!$G$79*Assumptions!$C$38+Assumptions!$H$79*Assumptions!$C$39)*Y72</f>
        <v>106.652</v>
      </c>
      <c r="Z94" s="65" t="n">
        <f aca="false">(Assumptions!$C$79*Assumptions!$C$34+Assumptions!$D$79*Assumptions!$C$35+Assumptions!$E$79*Assumptions!$C$36+Assumptions!$F$79*Assumptions!$C$37+Assumptions!$G$79*Assumptions!$C$38+Assumptions!$H$79*Assumptions!$C$39)*Z72</f>
        <v>106.652</v>
      </c>
      <c r="AA94" s="65" t="n">
        <f aca="false">(Assumptions!$C$79*Assumptions!$C$34+Assumptions!$D$79*Assumptions!$C$35+Assumptions!$E$79*Assumptions!$C$36+Assumptions!$F$79*Assumptions!$C$37+Assumptions!$G$79*Assumptions!$C$38+Assumptions!$H$79*Assumptions!$C$39)*AA72</f>
        <v>106.652</v>
      </c>
      <c r="AB94" s="65" t="n">
        <f aca="false">(Assumptions!$C$79*Assumptions!$C$34+Assumptions!$D$79*Assumptions!$C$35+Assumptions!$E$79*Assumptions!$C$36+Assumptions!$F$79*Assumptions!$C$37+Assumptions!$G$79*Assumptions!$C$38+Assumptions!$H$79*Assumptions!$C$39)*AB72</f>
        <v>106.652</v>
      </c>
    </row>
    <row r="95" customFormat="false" ht="15" hidden="false" customHeight="false" outlineLevel="0" collapsed="false">
      <c r="A95" s="28" t="s">
        <v>1077</v>
      </c>
      <c r="B95" s="58" t="s">
        <v>1076</v>
      </c>
      <c r="C95" s="64" t="n">
        <f aca="false">AVERAGE(E95:P95)</f>
        <v>102.8</v>
      </c>
      <c r="D95" s="64" t="n">
        <f aca="false">AVERAGE(Q95:AB95)</f>
        <v>106.912</v>
      </c>
      <c r="E95" s="65" t="n">
        <f aca="false">(Assumptions!$C$80*Assumptions!$C$34+Assumptions!$D$80*Assumptions!$C$35+Assumptions!$E$80*Assumptions!$C$36+Assumptions!$F$80*Assumptions!$C$37+Assumptions!$G$80*Assumptions!$C$38+Assumptions!$H$80*Assumptions!$C$39)*E72</f>
        <v>102.8</v>
      </c>
      <c r="F95" s="65" t="n">
        <f aca="false">(Assumptions!$C$80*Assumptions!$C$34+Assumptions!$D$80*Assumptions!$C$35+Assumptions!$E$80*Assumptions!$C$36+Assumptions!$F$80*Assumptions!$C$37+Assumptions!$G$80*Assumptions!$C$38+Assumptions!$H$80*Assumptions!$C$39)*F72</f>
        <v>102.8</v>
      </c>
      <c r="G95" s="65" t="n">
        <f aca="false">(Assumptions!$C$80*Assumptions!$C$34+Assumptions!$D$80*Assumptions!$C$35+Assumptions!$E$80*Assumptions!$C$36+Assumptions!$F$80*Assumptions!$C$37+Assumptions!$G$80*Assumptions!$C$38+Assumptions!$H$80*Assumptions!$C$39)*G72</f>
        <v>102.8</v>
      </c>
      <c r="H95" s="65" t="n">
        <f aca="false">(Assumptions!$C$80*Assumptions!$C$34+Assumptions!$D$80*Assumptions!$C$35+Assumptions!$E$80*Assumptions!$C$36+Assumptions!$F$80*Assumptions!$C$37+Assumptions!$G$80*Assumptions!$C$38+Assumptions!$H$80*Assumptions!$C$39)*H72</f>
        <v>102.8</v>
      </c>
      <c r="I95" s="65" t="n">
        <f aca="false">(Assumptions!$C$80*Assumptions!$C$34+Assumptions!$D$80*Assumptions!$C$35+Assumptions!$E$80*Assumptions!$C$36+Assumptions!$F$80*Assumptions!$C$37+Assumptions!$G$80*Assumptions!$C$38+Assumptions!$H$80*Assumptions!$C$39)*I72</f>
        <v>102.8</v>
      </c>
      <c r="J95" s="65" t="n">
        <f aca="false">(Assumptions!$C$80*Assumptions!$C$34+Assumptions!$D$80*Assumptions!$C$35+Assumptions!$E$80*Assumptions!$C$36+Assumptions!$F$80*Assumptions!$C$37+Assumptions!$G$80*Assumptions!$C$38+Assumptions!$H$80*Assumptions!$C$39)*J72</f>
        <v>102.8</v>
      </c>
      <c r="K95" s="65" t="n">
        <f aca="false">(Assumptions!$C$80*Assumptions!$C$34+Assumptions!$D$80*Assumptions!$C$35+Assumptions!$E$80*Assumptions!$C$36+Assumptions!$F$80*Assumptions!$C$37+Assumptions!$G$80*Assumptions!$C$38+Assumptions!$H$80*Assumptions!$C$39)*K72</f>
        <v>102.8</v>
      </c>
      <c r="L95" s="65" t="n">
        <f aca="false">(Assumptions!$C$80*Assumptions!$C$34+Assumptions!$D$80*Assumptions!$C$35+Assumptions!$E$80*Assumptions!$C$36+Assumptions!$F$80*Assumptions!$C$37+Assumptions!$G$80*Assumptions!$C$38+Assumptions!$H$80*Assumptions!$C$39)*L72</f>
        <v>102.8</v>
      </c>
      <c r="M95" s="65" t="n">
        <f aca="false">(Assumptions!$C$80*Assumptions!$C$34+Assumptions!$D$80*Assumptions!$C$35+Assumptions!$E$80*Assumptions!$C$36+Assumptions!$F$80*Assumptions!$C$37+Assumptions!$G$80*Assumptions!$C$38+Assumptions!$H$80*Assumptions!$C$39)*M72</f>
        <v>102.8</v>
      </c>
      <c r="N95" s="65" t="n">
        <f aca="false">(Assumptions!$C$80*Assumptions!$C$34+Assumptions!$D$80*Assumptions!$C$35+Assumptions!$E$80*Assumptions!$C$36+Assumptions!$F$80*Assumptions!$C$37+Assumptions!$G$80*Assumptions!$C$38+Assumptions!$H$80*Assumptions!$C$39)*N72</f>
        <v>102.8</v>
      </c>
      <c r="O95" s="65" t="n">
        <f aca="false">(Assumptions!$C$80*Assumptions!$C$34+Assumptions!$D$80*Assumptions!$C$35+Assumptions!$E$80*Assumptions!$C$36+Assumptions!$F$80*Assumptions!$C$37+Assumptions!$G$80*Assumptions!$C$38+Assumptions!$H$80*Assumptions!$C$39)*O72</f>
        <v>102.8</v>
      </c>
      <c r="P95" s="65" t="n">
        <f aca="false">(Assumptions!$C$80*Assumptions!$C$34+Assumptions!$D$80*Assumptions!$C$35+Assumptions!$E$80*Assumptions!$C$36+Assumptions!$F$80*Assumptions!$C$37+Assumptions!$G$80*Assumptions!$C$38+Assumptions!$H$80*Assumptions!$C$39)*P72</f>
        <v>102.8</v>
      </c>
      <c r="Q95" s="65" t="n">
        <f aca="false">(Assumptions!$C$80*Assumptions!$C$34+Assumptions!$D$80*Assumptions!$C$35+Assumptions!$E$80*Assumptions!$C$36+Assumptions!$F$80*Assumptions!$C$37+Assumptions!$G$80*Assumptions!$C$38+Assumptions!$H$80*Assumptions!$C$39)*Q72</f>
        <v>106.912</v>
      </c>
      <c r="R95" s="65" t="n">
        <f aca="false">(Assumptions!$C$80*Assumptions!$C$34+Assumptions!$D$80*Assumptions!$C$35+Assumptions!$E$80*Assumptions!$C$36+Assumptions!$F$80*Assumptions!$C$37+Assumptions!$G$80*Assumptions!$C$38+Assumptions!$H$80*Assumptions!$C$39)*R72</f>
        <v>106.912</v>
      </c>
      <c r="S95" s="65" t="n">
        <f aca="false">(Assumptions!$C$80*Assumptions!$C$34+Assumptions!$D$80*Assumptions!$C$35+Assumptions!$E$80*Assumptions!$C$36+Assumptions!$F$80*Assumptions!$C$37+Assumptions!$G$80*Assumptions!$C$38+Assumptions!$H$80*Assumptions!$C$39)*S72</f>
        <v>106.912</v>
      </c>
      <c r="T95" s="65" t="n">
        <f aca="false">(Assumptions!$C$80*Assumptions!$C$34+Assumptions!$D$80*Assumptions!$C$35+Assumptions!$E$80*Assumptions!$C$36+Assumptions!$F$80*Assumptions!$C$37+Assumptions!$G$80*Assumptions!$C$38+Assumptions!$H$80*Assumptions!$C$39)*T72</f>
        <v>106.912</v>
      </c>
      <c r="U95" s="65" t="n">
        <f aca="false">(Assumptions!$C$80*Assumptions!$C$34+Assumptions!$D$80*Assumptions!$C$35+Assumptions!$E$80*Assumptions!$C$36+Assumptions!$F$80*Assumptions!$C$37+Assumptions!$G$80*Assumptions!$C$38+Assumptions!$H$80*Assumptions!$C$39)*U72</f>
        <v>106.912</v>
      </c>
      <c r="V95" s="65" t="n">
        <f aca="false">(Assumptions!$C$80*Assumptions!$C$34+Assumptions!$D$80*Assumptions!$C$35+Assumptions!$E$80*Assumptions!$C$36+Assumptions!$F$80*Assumptions!$C$37+Assumptions!$G$80*Assumptions!$C$38+Assumptions!$H$80*Assumptions!$C$39)*V72</f>
        <v>106.912</v>
      </c>
      <c r="W95" s="65" t="n">
        <f aca="false">(Assumptions!$C$80*Assumptions!$C$34+Assumptions!$D$80*Assumptions!$C$35+Assumptions!$E$80*Assumptions!$C$36+Assumptions!$F$80*Assumptions!$C$37+Assumptions!$G$80*Assumptions!$C$38+Assumptions!$H$80*Assumptions!$C$39)*W72</f>
        <v>106.912</v>
      </c>
      <c r="X95" s="65" t="n">
        <f aca="false">(Assumptions!$C$80*Assumptions!$C$34+Assumptions!$D$80*Assumptions!$C$35+Assumptions!$E$80*Assumptions!$C$36+Assumptions!$F$80*Assumptions!$C$37+Assumptions!$G$80*Assumptions!$C$38+Assumptions!$H$80*Assumptions!$C$39)*X72</f>
        <v>106.912</v>
      </c>
      <c r="Y95" s="65" t="n">
        <f aca="false">(Assumptions!$C$80*Assumptions!$C$34+Assumptions!$D$80*Assumptions!$C$35+Assumptions!$E$80*Assumptions!$C$36+Assumptions!$F$80*Assumptions!$C$37+Assumptions!$G$80*Assumptions!$C$38+Assumptions!$H$80*Assumptions!$C$39)*Y72</f>
        <v>106.912</v>
      </c>
      <c r="Z95" s="65" t="n">
        <f aca="false">(Assumptions!$C$80*Assumptions!$C$34+Assumptions!$D$80*Assumptions!$C$35+Assumptions!$E$80*Assumptions!$C$36+Assumptions!$F$80*Assumptions!$C$37+Assumptions!$G$80*Assumptions!$C$38+Assumptions!$H$80*Assumptions!$C$39)*Z72</f>
        <v>106.912</v>
      </c>
      <c r="AA95" s="65" t="n">
        <f aca="false">(Assumptions!$C$80*Assumptions!$C$34+Assumptions!$D$80*Assumptions!$C$35+Assumptions!$E$80*Assumptions!$C$36+Assumptions!$F$80*Assumptions!$C$37+Assumptions!$G$80*Assumptions!$C$38+Assumptions!$H$80*Assumptions!$C$39)*AA72</f>
        <v>106.912</v>
      </c>
      <c r="AB95" s="65" t="n">
        <f aca="false">(Assumptions!$C$80*Assumptions!$C$34+Assumptions!$D$80*Assumptions!$C$35+Assumptions!$E$80*Assumptions!$C$36+Assumptions!$F$80*Assumptions!$C$37+Assumptions!$G$80*Assumptions!$C$38+Assumptions!$H$80*Assumptions!$C$39)*AB72</f>
        <v>106.912</v>
      </c>
    </row>
    <row r="96" customFormat="false" ht="15" hidden="false" customHeight="false" outlineLevel="0" collapsed="false">
      <c r="A96" s="28" t="s">
        <v>1078</v>
      </c>
      <c r="B96" s="58" t="s">
        <v>1076</v>
      </c>
      <c r="C96" s="64" t="n">
        <f aca="false">AVERAGE(E96:P96)</f>
        <v>110.5</v>
      </c>
      <c r="D96" s="64" t="n">
        <f aca="false">AVERAGE(Q96:AB96)</f>
        <v>114.92</v>
      </c>
      <c r="E96" s="65" t="n">
        <f aca="false">(Assumptions!$C$81*Assumptions!$C$34+Assumptions!$D$81*Assumptions!$C$35+Assumptions!$E$81*Assumptions!$C$36+Assumptions!$F$81*Assumptions!$C$37+Assumptions!$G$81*Assumptions!$C$38+Assumptions!$H$81*Assumptions!$C$39)*E72</f>
        <v>110.5</v>
      </c>
      <c r="F96" s="65" t="n">
        <f aca="false">(Assumptions!$C$81*Assumptions!$C$34+Assumptions!$D$81*Assumptions!$C$35+Assumptions!$E$81*Assumptions!$C$36+Assumptions!$F$81*Assumptions!$C$37+Assumptions!$G$81*Assumptions!$C$38+Assumptions!$H$81*Assumptions!$C$39)*F72</f>
        <v>110.5</v>
      </c>
      <c r="G96" s="65" t="n">
        <f aca="false">(Assumptions!$C$81*Assumptions!$C$34+Assumptions!$D$81*Assumptions!$C$35+Assumptions!$E$81*Assumptions!$C$36+Assumptions!$F$81*Assumptions!$C$37+Assumptions!$G$81*Assumptions!$C$38+Assumptions!$H$81*Assumptions!$C$39)*G72</f>
        <v>110.5</v>
      </c>
      <c r="H96" s="65" t="n">
        <f aca="false">(Assumptions!$C$81*Assumptions!$C$34+Assumptions!$D$81*Assumptions!$C$35+Assumptions!$E$81*Assumptions!$C$36+Assumptions!$F$81*Assumptions!$C$37+Assumptions!$G$81*Assumptions!$C$38+Assumptions!$H$81*Assumptions!$C$39)*H72</f>
        <v>110.5</v>
      </c>
      <c r="I96" s="65" t="n">
        <f aca="false">(Assumptions!$C$81*Assumptions!$C$34+Assumptions!$D$81*Assumptions!$C$35+Assumptions!$E$81*Assumptions!$C$36+Assumptions!$F$81*Assumptions!$C$37+Assumptions!$G$81*Assumptions!$C$38+Assumptions!$H$81*Assumptions!$C$39)*I72</f>
        <v>110.5</v>
      </c>
      <c r="J96" s="65" t="n">
        <f aca="false">(Assumptions!$C$81*Assumptions!$C$34+Assumptions!$D$81*Assumptions!$C$35+Assumptions!$E$81*Assumptions!$C$36+Assumptions!$F$81*Assumptions!$C$37+Assumptions!$G$81*Assumptions!$C$38+Assumptions!$H$81*Assumptions!$C$39)*J72</f>
        <v>110.5</v>
      </c>
      <c r="K96" s="65" t="n">
        <f aca="false">(Assumptions!$C$81*Assumptions!$C$34+Assumptions!$D$81*Assumptions!$C$35+Assumptions!$E$81*Assumptions!$C$36+Assumptions!$F$81*Assumptions!$C$37+Assumptions!$G$81*Assumptions!$C$38+Assumptions!$H$81*Assumptions!$C$39)*K72</f>
        <v>110.5</v>
      </c>
      <c r="L96" s="65" t="n">
        <f aca="false">(Assumptions!$C$81*Assumptions!$C$34+Assumptions!$D$81*Assumptions!$C$35+Assumptions!$E$81*Assumptions!$C$36+Assumptions!$F$81*Assumptions!$C$37+Assumptions!$G$81*Assumptions!$C$38+Assumptions!$H$81*Assumptions!$C$39)*L72</f>
        <v>110.5</v>
      </c>
      <c r="M96" s="65" t="n">
        <f aca="false">(Assumptions!$C$81*Assumptions!$C$34+Assumptions!$D$81*Assumptions!$C$35+Assumptions!$E$81*Assumptions!$C$36+Assumptions!$F$81*Assumptions!$C$37+Assumptions!$G$81*Assumptions!$C$38+Assumptions!$H$81*Assumptions!$C$39)*M72</f>
        <v>110.5</v>
      </c>
      <c r="N96" s="65" t="n">
        <f aca="false">(Assumptions!$C$81*Assumptions!$C$34+Assumptions!$D$81*Assumptions!$C$35+Assumptions!$E$81*Assumptions!$C$36+Assumptions!$F$81*Assumptions!$C$37+Assumptions!$G$81*Assumptions!$C$38+Assumptions!$H$81*Assumptions!$C$39)*N72</f>
        <v>110.5</v>
      </c>
      <c r="O96" s="65" t="n">
        <f aca="false">(Assumptions!$C$81*Assumptions!$C$34+Assumptions!$D$81*Assumptions!$C$35+Assumptions!$E$81*Assumptions!$C$36+Assumptions!$F$81*Assumptions!$C$37+Assumptions!$G$81*Assumptions!$C$38+Assumptions!$H$81*Assumptions!$C$39)*O72</f>
        <v>110.5</v>
      </c>
      <c r="P96" s="65" t="n">
        <f aca="false">(Assumptions!$C$81*Assumptions!$C$34+Assumptions!$D$81*Assumptions!$C$35+Assumptions!$E$81*Assumptions!$C$36+Assumptions!$F$81*Assumptions!$C$37+Assumptions!$G$81*Assumptions!$C$38+Assumptions!$H$81*Assumptions!$C$39)*P72</f>
        <v>110.5</v>
      </c>
      <c r="Q96" s="65" t="n">
        <f aca="false">(Assumptions!$C$81*Assumptions!$C$34+Assumptions!$D$81*Assumptions!$C$35+Assumptions!$E$81*Assumptions!$C$36+Assumptions!$F$81*Assumptions!$C$37+Assumptions!$G$81*Assumptions!$C$38+Assumptions!$H$81*Assumptions!$C$39)*Q72</f>
        <v>114.92</v>
      </c>
      <c r="R96" s="65" t="n">
        <f aca="false">(Assumptions!$C$81*Assumptions!$C$34+Assumptions!$D$81*Assumptions!$C$35+Assumptions!$E$81*Assumptions!$C$36+Assumptions!$F$81*Assumptions!$C$37+Assumptions!$G$81*Assumptions!$C$38+Assumptions!$H$81*Assumptions!$C$39)*R72</f>
        <v>114.92</v>
      </c>
      <c r="S96" s="65" t="n">
        <f aca="false">(Assumptions!$C$81*Assumptions!$C$34+Assumptions!$D$81*Assumptions!$C$35+Assumptions!$E$81*Assumptions!$C$36+Assumptions!$F$81*Assumptions!$C$37+Assumptions!$G$81*Assumptions!$C$38+Assumptions!$H$81*Assumptions!$C$39)*S72</f>
        <v>114.92</v>
      </c>
      <c r="T96" s="65" t="n">
        <f aca="false">(Assumptions!$C$81*Assumptions!$C$34+Assumptions!$D$81*Assumptions!$C$35+Assumptions!$E$81*Assumptions!$C$36+Assumptions!$F$81*Assumptions!$C$37+Assumptions!$G$81*Assumptions!$C$38+Assumptions!$H$81*Assumptions!$C$39)*T72</f>
        <v>114.92</v>
      </c>
      <c r="U96" s="65" t="n">
        <f aca="false">(Assumptions!$C$81*Assumptions!$C$34+Assumptions!$D$81*Assumptions!$C$35+Assumptions!$E$81*Assumptions!$C$36+Assumptions!$F$81*Assumptions!$C$37+Assumptions!$G$81*Assumptions!$C$38+Assumptions!$H$81*Assumptions!$C$39)*U72</f>
        <v>114.92</v>
      </c>
      <c r="V96" s="65" t="n">
        <f aca="false">(Assumptions!$C$81*Assumptions!$C$34+Assumptions!$D$81*Assumptions!$C$35+Assumptions!$E$81*Assumptions!$C$36+Assumptions!$F$81*Assumptions!$C$37+Assumptions!$G$81*Assumptions!$C$38+Assumptions!$H$81*Assumptions!$C$39)*V72</f>
        <v>114.92</v>
      </c>
      <c r="W96" s="65" t="n">
        <f aca="false">(Assumptions!$C$81*Assumptions!$C$34+Assumptions!$D$81*Assumptions!$C$35+Assumptions!$E$81*Assumptions!$C$36+Assumptions!$F$81*Assumptions!$C$37+Assumptions!$G$81*Assumptions!$C$38+Assumptions!$H$81*Assumptions!$C$39)*W72</f>
        <v>114.92</v>
      </c>
      <c r="X96" s="65" t="n">
        <f aca="false">(Assumptions!$C$81*Assumptions!$C$34+Assumptions!$D$81*Assumptions!$C$35+Assumptions!$E$81*Assumptions!$C$36+Assumptions!$F$81*Assumptions!$C$37+Assumptions!$G$81*Assumptions!$C$38+Assumptions!$H$81*Assumptions!$C$39)*X72</f>
        <v>114.92</v>
      </c>
      <c r="Y96" s="65" t="n">
        <f aca="false">(Assumptions!$C$81*Assumptions!$C$34+Assumptions!$D$81*Assumptions!$C$35+Assumptions!$E$81*Assumptions!$C$36+Assumptions!$F$81*Assumptions!$C$37+Assumptions!$G$81*Assumptions!$C$38+Assumptions!$H$81*Assumptions!$C$39)*Y72</f>
        <v>114.92</v>
      </c>
      <c r="Z96" s="65" t="n">
        <f aca="false">(Assumptions!$C$81*Assumptions!$C$34+Assumptions!$D$81*Assumptions!$C$35+Assumptions!$E$81*Assumptions!$C$36+Assumptions!$F$81*Assumptions!$C$37+Assumptions!$G$81*Assumptions!$C$38+Assumptions!$H$81*Assumptions!$C$39)*Z72</f>
        <v>114.92</v>
      </c>
      <c r="AA96" s="65" t="n">
        <f aca="false">(Assumptions!$C$81*Assumptions!$C$34+Assumptions!$D$81*Assumptions!$C$35+Assumptions!$E$81*Assumptions!$C$36+Assumptions!$F$81*Assumptions!$C$37+Assumptions!$G$81*Assumptions!$C$38+Assumptions!$H$81*Assumptions!$C$39)*AA72</f>
        <v>114.92</v>
      </c>
      <c r="AB96" s="65" t="n">
        <f aca="false">(Assumptions!$C$81*Assumptions!$C$34+Assumptions!$D$81*Assumptions!$C$35+Assumptions!$E$81*Assumptions!$C$36+Assumptions!$F$81*Assumptions!$C$37+Assumptions!$G$81*Assumptions!$C$38+Assumptions!$H$81*Assumptions!$C$39)*AB72</f>
        <v>114.92</v>
      </c>
    </row>
    <row r="97" customFormat="false" ht="15" hidden="false" customHeight="false" outlineLevel="0" collapsed="false">
      <c r="A97" s="28" t="s">
        <v>1079</v>
      </c>
      <c r="B97" s="58" t="s">
        <v>1076</v>
      </c>
      <c r="C97" s="64" t="n">
        <f aca="false">AVERAGE(E97:P97)</f>
        <v>108.55</v>
      </c>
      <c r="D97" s="64" t="n">
        <f aca="false">AVERAGE(Q97:AB97)</f>
        <v>112.892</v>
      </c>
      <c r="E97" s="65" t="n">
        <f aca="false">(Assumptions!$C$82*Assumptions!$C$34+Assumptions!$D$82*Assumptions!$C$35+Assumptions!$E$82*Assumptions!$C$36+Assumptions!$F$82*Assumptions!$C$37+Assumptions!$G$82*Assumptions!$C$38+Assumptions!$H$82*Assumptions!$C$39)*E72</f>
        <v>108.55</v>
      </c>
      <c r="F97" s="65" t="n">
        <f aca="false">(Assumptions!$C$82*Assumptions!$C$34+Assumptions!$D$82*Assumptions!$C$35+Assumptions!$E$82*Assumptions!$C$36+Assumptions!$F$82*Assumptions!$C$37+Assumptions!$G$82*Assumptions!$C$38+Assumptions!$H$82*Assumptions!$C$39)*F72</f>
        <v>108.55</v>
      </c>
      <c r="G97" s="65" t="n">
        <f aca="false">(Assumptions!$C$82*Assumptions!$C$34+Assumptions!$D$82*Assumptions!$C$35+Assumptions!$E$82*Assumptions!$C$36+Assumptions!$F$82*Assumptions!$C$37+Assumptions!$G$82*Assumptions!$C$38+Assumptions!$H$82*Assumptions!$C$39)*G72</f>
        <v>108.55</v>
      </c>
      <c r="H97" s="65" t="n">
        <f aca="false">(Assumptions!$C$82*Assumptions!$C$34+Assumptions!$D$82*Assumptions!$C$35+Assumptions!$E$82*Assumptions!$C$36+Assumptions!$F$82*Assumptions!$C$37+Assumptions!$G$82*Assumptions!$C$38+Assumptions!$H$82*Assumptions!$C$39)*H72</f>
        <v>108.55</v>
      </c>
      <c r="I97" s="65" t="n">
        <f aca="false">(Assumptions!$C$82*Assumptions!$C$34+Assumptions!$D$82*Assumptions!$C$35+Assumptions!$E$82*Assumptions!$C$36+Assumptions!$F$82*Assumptions!$C$37+Assumptions!$G$82*Assumptions!$C$38+Assumptions!$H$82*Assumptions!$C$39)*I72</f>
        <v>108.55</v>
      </c>
      <c r="J97" s="65" t="n">
        <f aca="false">(Assumptions!$C$82*Assumptions!$C$34+Assumptions!$D$82*Assumptions!$C$35+Assumptions!$E$82*Assumptions!$C$36+Assumptions!$F$82*Assumptions!$C$37+Assumptions!$G$82*Assumptions!$C$38+Assumptions!$H$82*Assumptions!$C$39)*J72</f>
        <v>108.55</v>
      </c>
      <c r="K97" s="65" t="n">
        <f aca="false">(Assumptions!$C$82*Assumptions!$C$34+Assumptions!$D$82*Assumptions!$C$35+Assumptions!$E$82*Assumptions!$C$36+Assumptions!$F$82*Assumptions!$C$37+Assumptions!$G$82*Assumptions!$C$38+Assumptions!$H$82*Assumptions!$C$39)*K72</f>
        <v>108.55</v>
      </c>
      <c r="L97" s="65" t="n">
        <f aca="false">(Assumptions!$C$82*Assumptions!$C$34+Assumptions!$D$82*Assumptions!$C$35+Assumptions!$E$82*Assumptions!$C$36+Assumptions!$F$82*Assumptions!$C$37+Assumptions!$G$82*Assumptions!$C$38+Assumptions!$H$82*Assumptions!$C$39)*L72</f>
        <v>108.55</v>
      </c>
      <c r="M97" s="65" t="n">
        <f aca="false">(Assumptions!$C$82*Assumptions!$C$34+Assumptions!$D$82*Assumptions!$C$35+Assumptions!$E$82*Assumptions!$C$36+Assumptions!$F$82*Assumptions!$C$37+Assumptions!$G$82*Assumptions!$C$38+Assumptions!$H$82*Assumptions!$C$39)*M72</f>
        <v>108.55</v>
      </c>
      <c r="N97" s="65" t="n">
        <f aca="false">(Assumptions!$C$82*Assumptions!$C$34+Assumptions!$D$82*Assumptions!$C$35+Assumptions!$E$82*Assumptions!$C$36+Assumptions!$F$82*Assumptions!$C$37+Assumptions!$G$82*Assumptions!$C$38+Assumptions!$H$82*Assumptions!$C$39)*N72</f>
        <v>108.55</v>
      </c>
      <c r="O97" s="65" t="n">
        <f aca="false">(Assumptions!$C$82*Assumptions!$C$34+Assumptions!$D$82*Assumptions!$C$35+Assumptions!$E$82*Assumptions!$C$36+Assumptions!$F$82*Assumptions!$C$37+Assumptions!$G$82*Assumptions!$C$38+Assumptions!$H$82*Assumptions!$C$39)*O72</f>
        <v>108.55</v>
      </c>
      <c r="P97" s="65" t="n">
        <f aca="false">(Assumptions!$C$82*Assumptions!$C$34+Assumptions!$D$82*Assumptions!$C$35+Assumptions!$E$82*Assumptions!$C$36+Assumptions!$F$82*Assumptions!$C$37+Assumptions!$G$82*Assumptions!$C$38+Assumptions!$H$82*Assumptions!$C$39)*P72</f>
        <v>108.55</v>
      </c>
      <c r="Q97" s="65" t="n">
        <f aca="false">(Assumptions!$C$82*Assumptions!$C$34+Assumptions!$D$82*Assumptions!$C$35+Assumptions!$E$82*Assumptions!$C$36+Assumptions!$F$82*Assumptions!$C$37+Assumptions!$G$82*Assumptions!$C$38+Assumptions!$H$82*Assumptions!$C$39)*Q72</f>
        <v>112.892</v>
      </c>
      <c r="R97" s="65" t="n">
        <f aca="false">(Assumptions!$C$82*Assumptions!$C$34+Assumptions!$D$82*Assumptions!$C$35+Assumptions!$E$82*Assumptions!$C$36+Assumptions!$F$82*Assumptions!$C$37+Assumptions!$G$82*Assumptions!$C$38+Assumptions!$H$82*Assumptions!$C$39)*R72</f>
        <v>112.892</v>
      </c>
      <c r="S97" s="65" t="n">
        <f aca="false">(Assumptions!$C$82*Assumptions!$C$34+Assumptions!$D$82*Assumptions!$C$35+Assumptions!$E$82*Assumptions!$C$36+Assumptions!$F$82*Assumptions!$C$37+Assumptions!$G$82*Assumptions!$C$38+Assumptions!$H$82*Assumptions!$C$39)*S72</f>
        <v>112.892</v>
      </c>
      <c r="T97" s="65" t="n">
        <f aca="false">(Assumptions!$C$82*Assumptions!$C$34+Assumptions!$D$82*Assumptions!$C$35+Assumptions!$E$82*Assumptions!$C$36+Assumptions!$F$82*Assumptions!$C$37+Assumptions!$G$82*Assumptions!$C$38+Assumptions!$H$82*Assumptions!$C$39)*T72</f>
        <v>112.892</v>
      </c>
      <c r="U97" s="65" t="n">
        <f aca="false">(Assumptions!$C$82*Assumptions!$C$34+Assumptions!$D$82*Assumptions!$C$35+Assumptions!$E$82*Assumptions!$C$36+Assumptions!$F$82*Assumptions!$C$37+Assumptions!$G$82*Assumptions!$C$38+Assumptions!$H$82*Assumptions!$C$39)*U72</f>
        <v>112.892</v>
      </c>
      <c r="V97" s="65" t="n">
        <f aca="false">(Assumptions!$C$82*Assumptions!$C$34+Assumptions!$D$82*Assumptions!$C$35+Assumptions!$E$82*Assumptions!$C$36+Assumptions!$F$82*Assumptions!$C$37+Assumptions!$G$82*Assumptions!$C$38+Assumptions!$H$82*Assumptions!$C$39)*V72</f>
        <v>112.892</v>
      </c>
      <c r="W97" s="65" t="n">
        <f aca="false">(Assumptions!$C$82*Assumptions!$C$34+Assumptions!$D$82*Assumptions!$C$35+Assumptions!$E$82*Assumptions!$C$36+Assumptions!$F$82*Assumptions!$C$37+Assumptions!$G$82*Assumptions!$C$38+Assumptions!$H$82*Assumptions!$C$39)*W72</f>
        <v>112.892</v>
      </c>
      <c r="X97" s="65" t="n">
        <f aca="false">(Assumptions!$C$82*Assumptions!$C$34+Assumptions!$D$82*Assumptions!$C$35+Assumptions!$E$82*Assumptions!$C$36+Assumptions!$F$82*Assumptions!$C$37+Assumptions!$G$82*Assumptions!$C$38+Assumptions!$H$82*Assumptions!$C$39)*X72</f>
        <v>112.892</v>
      </c>
      <c r="Y97" s="65" t="n">
        <f aca="false">(Assumptions!$C$82*Assumptions!$C$34+Assumptions!$D$82*Assumptions!$C$35+Assumptions!$E$82*Assumptions!$C$36+Assumptions!$F$82*Assumptions!$C$37+Assumptions!$G$82*Assumptions!$C$38+Assumptions!$H$82*Assumptions!$C$39)*Y72</f>
        <v>112.892</v>
      </c>
      <c r="Z97" s="65" t="n">
        <f aca="false">(Assumptions!$C$82*Assumptions!$C$34+Assumptions!$D$82*Assumptions!$C$35+Assumptions!$E$82*Assumptions!$C$36+Assumptions!$F$82*Assumptions!$C$37+Assumptions!$G$82*Assumptions!$C$38+Assumptions!$H$82*Assumptions!$C$39)*Z72</f>
        <v>112.892</v>
      </c>
      <c r="AA97" s="65" t="n">
        <f aca="false">(Assumptions!$C$82*Assumptions!$C$34+Assumptions!$D$82*Assumptions!$C$35+Assumptions!$E$82*Assumptions!$C$36+Assumptions!$F$82*Assumptions!$C$37+Assumptions!$G$82*Assumptions!$C$38+Assumptions!$H$82*Assumptions!$C$39)*AA72</f>
        <v>112.892</v>
      </c>
      <c r="AB97" s="65" t="n">
        <f aca="false">(Assumptions!$C$82*Assumptions!$C$34+Assumptions!$D$82*Assumptions!$C$35+Assumptions!$E$82*Assumptions!$C$36+Assumptions!$F$82*Assumptions!$C$37+Assumptions!$G$82*Assumptions!$C$38+Assumptions!$H$82*Assumptions!$C$39)*AB72</f>
        <v>112.892</v>
      </c>
    </row>
    <row r="98" customFormat="false" ht="15" hidden="false" customHeight="false" outlineLevel="0" collapsed="false">
      <c r="A98" s="28" t="s">
        <v>1080</v>
      </c>
      <c r="B98" s="58" t="s">
        <v>1076</v>
      </c>
      <c r="C98" s="64" t="n">
        <f aca="false">AVERAGE(E98:P98)</f>
        <v>110</v>
      </c>
      <c r="D98" s="64" t="n">
        <f aca="false">AVERAGE(Q98:AB98)</f>
        <v>114.4</v>
      </c>
      <c r="E98" s="65" t="n">
        <f aca="false">(Assumptions!$C$83*Assumptions!$C$34+Assumptions!$D$83*Assumptions!$C$35+Assumptions!$E$83*Assumptions!$C$36+Assumptions!$F$83*Assumptions!$C$37+Assumptions!$G$83*Assumptions!$C$38+Assumptions!$H$83*Assumptions!$C$39)*E72</f>
        <v>110</v>
      </c>
      <c r="F98" s="65" t="n">
        <f aca="false">(Assumptions!$C$83*Assumptions!$C$34+Assumptions!$D$83*Assumptions!$C$35+Assumptions!$E$83*Assumptions!$C$36+Assumptions!$F$83*Assumptions!$C$37+Assumptions!$G$83*Assumptions!$C$38+Assumptions!$H$83*Assumptions!$C$39)*F72</f>
        <v>110</v>
      </c>
      <c r="G98" s="65" t="n">
        <f aca="false">(Assumptions!$C$83*Assumptions!$C$34+Assumptions!$D$83*Assumptions!$C$35+Assumptions!$E$83*Assumptions!$C$36+Assumptions!$F$83*Assumptions!$C$37+Assumptions!$G$83*Assumptions!$C$38+Assumptions!$H$83*Assumptions!$C$39)*G72</f>
        <v>110</v>
      </c>
      <c r="H98" s="65" t="n">
        <f aca="false">(Assumptions!$C$83*Assumptions!$C$34+Assumptions!$D$83*Assumptions!$C$35+Assumptions!$E$83*Assumptions!$C$36+Assumptions!$F$83*Assumptions!$C$37+Assumptions!$G$83*Assumptions!$C$38+Assumptions!$H$83*Assumptions!$C$39)*H72</f>
        <v>110</v>
      </c>
      <c r="I98" s="65" t="n">
        <f aca="false">(Assumptions!$C$83*Assumptions!$C$34+Assumptions!$D$83*Assumptions!$C$35+Assumptions!$E$83*Assumptions!$C$36+Assumptions!$F$83*Assumptions!$C$37+Assumptions!$G$83*Assumptions!$C$38+Assumptions!$H$83*Assumptions!$C$39)*I72</f>
        <v>110</v>
      </c>
      <c r="J98" s="65" t="n">
        <f aca="false">(Assumptions!$C$83*Assumptions!$C$34+Assumptions!$D$83*Assumptions!$C$35+Assumptions!$E$83*Assumptions!$C$36+Assumptions!$F$83*Assumptions!$C$37+Assumptions!$G$83*Assumptions!$C$38+Assumptions!$H$83*Assumptions!$C$39)*J72</f>
        <v>110</v>
      </c>
      <c r="K98" s="65" t="n">
        <f aca="false">(Assumptions!$C$83*Assumptions!$C$34+Assumptions!$D$83*Assumptions!$C$35+Assumptions!$E$83*Assumptions!$C$36+Assumptions!$F$83*Assumptions!$C$37+Assumptions!$G$83*Assumptions!$C$38+Assumptions!$H$83*Assumptions!$C$39)*K72</f>
        <v>110</v>
      </c>
      <c r="L98" s="65" t="n">
        <f aca="false">(Assumptions!$C$83*Assumptions!$C$34+Assumptions!$D$83*Assumptions!$C$35+Assumptions!$E$83*Assumptions!$C$36+Assumptions!$F$83*Assumptions!$C$37+Assumptions!$G$83*Assumptions!$C$38+Assumptions!$H$83*Assumptions!$C$39)*L72</f>
        <v>110</v>
      </c>
      <c r="M98" s="65" t="n">
        <f aca="false">(Assumptions!$C$83*Assumptions!$C$34+Assumptions!$D$83*Assumptions!$C$35+Assumptions!$E$83*Assumptions!$C$36+Assumptions!$F$83*Assumptions!$C$37+Assumptions!$G$83*Assumptions!$C$38+Assumptions!$H$83*Assumptions!$C$39)*M72</f>
        <v>110</v>
      </c>
      <c r="N98" s="65" t="n">
        <f aca="false">(Assumptions!$C$83*Assumptions!$C$34+Assumptions!$D$83*Assumptions!$C$35+Assumptions!$E$83*Assumptions!$C$36+Assumptions!$F$83*Assumptions!$C$37+Assumptions!$G$83*Assumptions!$C$38+Assumptions!$H$83*Assumptions!$C$39)*N72</f>
        <v>110</v>
      </c>
      <c r="O98" s="65" t="n">
        <f aca="false">(Assumptions!$C$83*Assumptions!$C$34+Assumptions!$D$83*Assumptions!$C$35+Assumptions!$E$83*Assumptions!$C$36+Assumptions!$F$83*Assumptions!$C$37+Assumptions!$G$83*Assumptions!$C$38+Assumptions!$H$83*Assumptions!$C$39)*O72</f>
        <v>110</v>
      </c>
      <c r="P98" s="65" t="n">
        <f aca="false">(Assumptions!$C$83*Assumptions!$C$34+Assumptions!$D$83*Assumptions!$C$35+Assumptions!$E$83*Assumptions!$C$36+Assumptions!$F$83*Assumptions!$C$37+Assumptions!$G$83*Assumptions!$C$38+Assumptions!$H$83*Assumptions!$C$39)*P72</f>
        <v>110</v>
      </c>
      <c r="Q98" s="65" t="n">
        <f aca="false">(Assumptions!$C$83*Assumptions!$C$34+Assumptions!$D$83*Assumptions!$C$35+Assumptions!$E$83*Assumptions!$C$36+Assumptions!$F$83*Assumptions!$C$37+Assumptions!$G$83*Assumptions!$C$38+Assumptions!$H$83*Assumptions!$C$39)*Q72</f>
        <v>114.4</v>
      </c>
      <c r="R98" s="65" t="n">
        <f aca="false">(Assumptions!$C$83*Assumptions!$C$34+Assumptions!$D$83*Assumptions!$C$35+Assumptions!$E$83*Assumptions!$C$36+Assumptions!$F$83*Assumptions!$C$37+Assumptions!$G$83*Assumptions!$C$38+Assumptions!$H$83*Assumptions!$C$39)*R72</f>
        <v>114.4</v>
      </c>
      <c r="S98" s="65" t="n">
        <f aca="false">(Assumptions!$C$83*Assumptions!$C$34+Assumptions!$D$83*Assumptions!$C$35+Assumptions!$E$83*Assumptions!$C$36+Assumptions!$F$83*Assumptions!$C$37+Assumptions!$G$83*Assumptions!$C$38+Assumptions!$H$83*Assumptions!$C$39)*S72</f>
        <v>114.4</v>
      </c>
      <c r="T98" s="65" t="n">
        <f aca="false">(Assumptions!$C$83*Assumptions!$C$34+Assumptions!$D$83*Assumptions!$C$35+Assumptions!$E$83*Assumptions!$C$36+Assumptions!$F$83*Assumptions!$C$37+Assumptions!$G$83*Assumptions!$C$38+Assumptions!$H$83*Assumptions!$C$39)*T72</f>
        <v>114.4</v>
      </c>
      <c r="U98" s="65" t="n">
        <f aca="false">(Assumptions!$C$83*Assumptions!$C$34+Assumptions!$D$83*Assumptions!$C$35+Assumptions!$E$83*Assumptions!$C$36+Assumptions!$F$83*Assumptions!$C$37+Assumptions!$G$83*Assumptions!$C$38+Assumptions!$H$83*Assumptions!$C$39)*U72</f>
        <v>114.4</v>
      </c>
      <c r="V98" s="65" t="n">
        <f aca="false">(Assumptions!$C$83*Assumptions!$C$34+Assumptions!$D$83*Assumptions!$C$35+Assumptions!$E$83*Assumptions!$C$36+Assumptions!$F$83*Assumptions!$C$37+Assumptions!$G$83*Assumptions!$C$38+Assumptions!$H$83*Assumptions!$C$39)*V72</f>
        <v>114.4</v>
      </c>
      <c r="W98" s="65" t="n">
        <f aca="false">(Assumptions!$C$83*Assumptions!$C$34+Assumptions!$D$83*Assumptions!$C$35+Assumptions!$E$83*Assumptions!$C$36+Assumptions!$F$83*Assumptions!$C$37+Assumptions!$G$83*Assumptions!$C$38+Assumptions!$H$83*Assumptions!$C$39)*W72</f>
        <v>114.4</v>
      </c>
      <c r="X98" s="65" t="n">
        <f aca="false">(Assumptions!$C$83*Assumptions!$C$34+Assumptions!$D$83*Assumptions!$C$35+Assumptions!$E$83*Assumptions!$C$36+Assumptions!$F$83*Assumptions!$C$37+Assumptions!$G$83*Assumptions!$C$38+Assumptions!$H$83*Assumptions!$C$39)*X72</f>
        <v>114.4</v>
      </c>
      <c r="Y98" s="65" t="n">
        <f aca="false">(Assumptions!$C$83*Assumptions!$C$34+Assumptions!$D$83*Assumptions!$C$35+Assumptions!$E$83*Assumptions!$C$36+Assumptions!$F$83*Assumptions!$C$37+Assumptions!$G$83*Assumptions!$C$38+Assumptions!$H$83*Assumptions!$C$39)*Y72</f>
        <v>114.4</v>
      </c>
      <c r="Z98" s="65" t="n">
        <f aca="false">(Assumptions!$C$83*Assumptions!$C$34+Assumptions!$D$83*Assumptions!$C$35+Assumptions!$E$83*Assumptions!$C$36+Assumptions!$F$83*Assumptions!$C$37+Assumptions!$G$83*Assumptions!$C$38+Assumptions!$H$83*Assumptions!$C$39)*Z72</f>
        <v>114.4</v>
      </c>
      <c r="AA98" s="65" t="n">
        <f aca="false">(Assumptions!$C$83*Assumptions!$C$34+Assumptions!$D$83*Assumptions!$C$35+Assumptions!$E$83*Assumptions!$C$36+Assumptions!$F$83*Assumptions!$C$37+Assumptions!$G$83*Assumptions!$C$38+Assumptions!$H$83*Assumptions!$C$39)*AA72</f>
        <v>114.4</v>
      </c>
      <c r="AB98" s="65" t="n">
        <f aca="false">(Assumptions!$C$83*Assumptions!$C$34+Assumptions!$D$83*Assumptions!$C$35+Assumptions!$E$83*Assumptions!$C$36+Assumptions!$F$83*Assumptions!$C$37+Assumptions!$G$83*Assumptions!$C$38+Assumptions!$H$83*Assumptions!$C$39)*AB72</f>
        <v>114.4</v>
      </c>
    </row>
    <row r="99" customFormat="false" ht="15" hidden="false" customHeight="false" outlineLevel="0" collapsed="false">
      <c r="A99" s="28" t="s">
        <v>1081</v>
      </c>
      <c r="B99" s="58" t="s">
        <v>1076</v>
      </c>
      <c r="C99" s="64" t="n">
        <f aca="false">AVERAGE(E99:P99)</f>
        <v>104</v>
      </c>
      <c r="D99" s="64" t="n">
        <f aca="false">AVERAGE(Q99:AB99)</f>
        <v>108.16</v>
      </c>
      <c r="E99" s="65" t="n">
        <f aca="false">(Assumptions!$C$84*Assumptions!$C$34+Assumptions!$D$84*Assumptions!$C$35+Assumptions!$E$84*Assumptions!$C$36+Assumptions!$F$84*Assumptions!$C$37+Assumptions!$G$84*Assumptions!$C$38+Assumptions!$H$84*Assumptions!$C$39)*E72</f>
        <v>104</v>
      </c>
      <c r="F99" s="65" t="n">
        <f aca="false">(Assumptions!$C$84*Assumptions!$C$34+Assumptions!$D$84*Assumptions!$C$35+Assumptions!$E$84*Assumptions!$C$36+Assumptions!$F$84*Assumptions!$C$37+Assumptions!$G$84*Assumptions!$C$38+Assumptions!$H$84*Assumptions!$C$39)*F72</f>
        <v>104</v>
      </c>
      <c r="G99" s="65" t="n">
        <f aca="false">(Assumptions!$C$84*Assumptions!$C$34+Assumptions!$D$84*Assumptions!$C$35+Assumptions!$E$84*Assumptions!$C$36+Assumptions!$F$84*Assumptions!$C$37+Assumptions!$G$84*Assumptions!$C$38+Assumptions!$H$84*Assumptions!$C$39)*G72</f>
        <v>104</v>
      </c>
      <c r="H99" s="65" t="n">
        <f aca="false">(Assumptions!$C$84*Assumptions!$C$34+Assumptions!$D$84*Assumptions!$C$35+Assumptions!$E$84*Assumptions!$C$36+Assumptions!$F$84*Assumptions!$C$37+Assumptions!$G$84*Assumptions!$C$38+Assumptions!$H$84*Assumptions!$C$39)*H72</f>
        <v>104</v>
      </c>
      <c r="I99" s="65" t="n">
        <f aca="false">(Assumptions!$C$84*Assumptions!$C$34+Assumptions!$D$84*Assumptions!$C$35+Assumptions!$E$84*Assumptions!$C$36+Assumptions!$F$84*Assumptions!$C$37+Assumptions!$G$84*Assumptions!$C$38+Assumptions!$H$84*Assumptions!$C$39)*I72</f>
        <v>104</v>
      </c>
      <c r="J99" s="65" t="n">
        <f aca="false">(Assumptions!$C$84*Assumptions!$C$34+Assumptions!$D$84*Assumptions!$C$35+Assumptions!$E$84*Assumptions!$C$36+Assumptions!$F$84*Assumptions!$C$37+Assumptions!$G$84*Assumptions!$C$38+Assumptions!$H$84*Assumptions!$C$39)*J72</f>
        <v>104</v>
      </c>
      <c r="K99" s="65" t="n">
        <f aca="false">(Assumptions!$C$84*Assumptions!$C$34+Assumptions!$D$84*Assumptions!$C$35+Assumptions!$E$84*Assumptions!$C$36+Assumptions!$F$84*Assumptions!$C$37+Assumptions!$G$84*Assumptions!$C$38+Assumptions!$H$84*Assumptions!$C$39)*K72</f>
        <v>104</v>
      </c>
      <c r="L99" s="65" t="n">
        <f aca="false">(Assumptions!$C$84*Assumptions!$C$34+Assumptions!$D$84*Assumptions!$C$35+Assumptions!$E$84*Assumptions!$C$36+Assumptions!$F$84*Assumptions!$C$37+Assumptions!$G$84*Assumptions!$C$38+Assumptions!$H$84*Assumptions!$C$39)*L72</f>
        <v>104</v>
      </c>
      <c r="M99" s="65" t="n">
        <f aca="false">(Assumptions!$C$84*Assumptions!$C$34+Assumptions!$D$84*Assumptions!$C$35+Assumptions!$E$84*Assumptions!$C$36+Assumptions!$F$84*Assumptions!$C$37+Assumptions!$G$84*Assumptions!$C$38+Assumptions!$H$84*Assumptions!$C$39)*M72</f>
        <v>104</v>
      </c>
      <c r="N99" s="65" t="n">
        <f aca="false">(Assumptions!$C$84*Assumptions!$C$34+Assumptions!$D$84*Assumptions!$C$35+Assumptions!$E$84*Assumptions!$C$36+Assumptions!$F$84*Assumptions!$C$37+Assumptions!$G$84*Assumptions!$C$38+Assumptions!$H$84*Assumptions!$C$39)*N72</f>
        <v>104</v>
      </c>
      <c r="O99" s="65" t="n">
        <f aca="false">(Assumptions!$C$84*Assumptions!$C$34+Assumptions!$D$84*Assumptions!$C$35+Assumptions!$E$84*Assumptions!$C$36+Assumptions!$F$84*Assumptions!$C$37+Assumptions!$G$84*Assumptions!$C$38+Assumptions!$H$84*Assumptions!$C$39)*O72</f>
        <v>104</v>
      </c>
      <c r="P99" s="65" t="n">
        <f aca="false">(Assumptions!$C$84*Assumptions!$C$34+Assumptions!$D$84*Assumptions!$C$35+Assumptions!$E$84*Assumptions!$C$36+Assumptions!$F$84*Assumptions!$C$37+Assumptions!$G$84*Assumptions!$C$38+Assumptions!$H$84*Assumptions!$C$39)*P72</f>
        <v>104</v>
      </c>
      <c r="Q99" s="65" t="n">
        <f aca="false">(Assumptions!$C$84*Assumptions!$C$34+Assumptions!$D$84*Assumptions!$C$35+Assumptions!$E$84*Assumptions!$C$36+Assumptions!$F$84*Assumptions!$C$37+Assumptions!$G$84*Assumptions!$C$38+Assumptions!$H$84*Assumptions!$C$39)*Q72</f>
        <v>108.16</v>
      </c>
      <c r="R99" s="65" t="n">
        <f aca="false">(Assumptions!$C$84*Assumptions!$C$34+Assumptions!$D$84*Assumptions!$C$35+Assumptions!$E$84*Assumptions!$C$36+Assumptions!$F$84*Assumptions!$C$37+Assumptions!$G$84*Assumptions!$C$38+Assumptions!$H$84*Assumptions!$C$39)*R72</f>
        <v>108.16</v>
      </c>
      <c r="S99" s="65" t="n">
        <f aca="false">(Assumptions!$C$84*Assumptions!$C$34+Assumptions!$D$84*Assumptions!$C$35+Assumptions!$E$84*Assumptions!$C$36+Assumptions!$F$84*Assumptions!$C$37+Assumptions!$G$84*Assumptions!$C$38+Assumptions!$H$84*Assumptions!$C$39)*S72</f>
        <v>108.16</v>
      </c>
      <c r="T99" s="65" t="n">
        <f aca="false">(Assumptions!$C$84*Assumptions!$C$34+Assumptions!$D$84*Assumptions!$C$35+Assumptions!$E$84*Assumptions!$C$36+Assumptions!$F$84*Assumptions!$C$37+Assumptions!$G$84*Assumptions!$C$38+Assumptions!$H$84*Assumptions!$C$39)*T72</f>
        <v>108.16</v>
      </c>
      <c r="U99" s="65" t="n">
        <f aca="false">(Assumptions!$C$84*Assumptions!$C$34+Assumptions!$D$84*Assumptions!$C$35+Assumptions!$E$84*Assumptions!$C$36+Assumptions!$F$84*Assumptions!$C$37+Assumptions!$G$84*Assumptions!$C$38+Assumptions!$H$84*Assumptions!$C$39)*U72</f>
        <v>108.16</v>
      </c>
      <c r="V99" s="65" t="n">
        <f aca="false">(Assumptions!$C$84*Assumptions!$C$34+Assumptions!$D$84*Assumptions!$C$35+Assumptions!$E$84*Assumptions!$C$36+Assumptions!$F$84*Assumptions!$C$37+Assumptions!$G$84*Assumptions!$C$38+Assumptions!$H$84*Assumptions!$C$39)*V72</f>
        <v>108.16</v>
      </c>
      <c r="W99" s="65" t="n">
        <f aca="false">(Assumptions!$C$84*Assumptions!$C$34+Assumptions!$D$84*Assumptions!$C$35+Assumptions!$E$84*Assumptions!$C$36+Assumptions!$F$84*Assumptions!$C$37+Assumptions!$G$84*Assumptions!$C$38+Assumptions!$H$84*Assumptions!$C$39)*W72</f>
        <v>108.16</v>
      </c>
      <c r="X99" s="65" t="n">
        <f aca="false">(Assumptions!$C$84*Assumptions!$C$34+Assumptions!$D$84*Assumptions!$C$35+Assumptions!$E$84*Assumptions!$C$36+Assumptions!$F$84*Assumptions!$C$37+Assumptions!$G$84*Assumptions!$C$38+Assumptions!$H$84*Assumptions!$C$39)*X72</f>
        <v>108.16</v>
      </c>
      <c r="Y99" s="65" t="n">
        <f aca="false">(Assumptions!$C$84*Assumptions!$C$34+Assumptions!$D$84*Assumptions!$C$35+Assumptions!$E$84*Assumptions!$C$36+Assumptions!$F$84*Assumptions!$C$37+Assumptions!$G$84*Assumptions!$C$38+Assumptions!$H$84*Assumptions!$C$39)*Y72</f>
        <v>108.16</v>
      </c>
      <c r="Z99" s="65" t="n">
        <f aca="false">(Assumptions!$C$84*Assumptions!$C$34+Assumptions!$D$84*Assumptions!$C$35+Assumptions!$E$84*Assumptions!$C$36+Assumptions!$F$84*Assumptions!$C$37+Assumptions!$G$84*Assumptions!$C$38+Assumptions!$H$84*Assumptions!$C$39)*Z72</f>
        <v>108.16</v>
      </c>
      <c r="AA99" s="65" t="n">
        <f aca="false">(Assumptions!$C$84*Assumptions!$C$34+Assumptions!$D$84*Assumptions!$C$35+Assumptions!$E$84*Assumptions!$C$36+Assumptions!$F$84*Assumptions!$C$37+Assumptions!$G$84*Assumptions!$C$38+Assumptions!$H$84*Assumptions!$C$39)*AA72</f>
        <v>108.16</v>
      </c>
      <c r="AB99" s="65" t="n">
        <f aca="false">(Assumptions!$C$84*Assumptions!$C$34+Assumptions!$D$84*Assumptions!$C$35+Assumptions!$E$84*Assumptions!$C$36+Assumptions!$F$84*Assumptions!$C$37+Assumptions!$G$84*Assumptions!$C$38+Assumptions!$H$84*Assumptions!$C$39)*AB72</f>
        <v>108.16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1082</v>
      </c>
    </row>
    <row r="3" customFormat="false" ht="15" hidden="false" customHeight="false" outlineLevel="0" collapsed="false">
      <c r="A3" s="49" t="s">
        <v>1083</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1084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1085</v>
      </c>
      <c r="B9" s="58" t="s">
        <v>1086</v>
      </c>
      <c r="C9" s="59" t="n">
        <f aca="false">SUM(E9:P9)</f>
        <v>0</v>
      </c>
      <c r="D9" s="59" t="n">
        <f aca="false">SUM(Q9:AB9)</f>
        <v>0</v>
      </c>
      <c r="E9" s="71" t="n">
        <f aca="false">0</f>
        <v>0</v>
      </c>
      <c r="F9" s="71" t="n">
        <f aca="false">0</f>
        <v>0</v>
      </c>
      <c r="G9" s="71" t="n">
        <f aca="false">0</f>
        <v>0</v>
      </c>
      <c r="H9" s="71" t="n">
        <f aca="false">0</f>
        <v>0</v>
      </c>
      <c r="I9" s="71" t="n">
        <f aca="false">0</f>
        <v>0</v>
      </c>
      <c r="J9" s="71" t="n">
        <f aca="false">0</f>
        <v>0</v>
      </c>
      <c r="K9" s="71" t="n">
        <f aca="false">0</f>
        <v>0</v>
      </c>
      <c r="L9" s="71" t="n">
        <f aca="false">0</f>
        <v>0</v>
      </c>
      <c r="M9" s="60" t="n">
        <f aca="false">Utilisation!M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M$105</f>
        <v>0</v>
      </c>
      <c r="N9" s="60" t="n">
        <f aca="false">Utilisation!N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N$105</f>
        <v>0</v>
      </c>
      <c r="O9" s="60" t="n">
        <f aca="false">Utilisation!O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O$105</f>
        <v>0</v>
      </c>
      <c r="P9" s="60" t="n">
        <f aca="false">Utilisation!P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P$105</f>
        <v>0</v>
      </c>
      <c r="Q9" s="60" t="n">
        <f aca="false">Utilisation!Q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Q$105</f>
        <v>0</v>
      </c>
      <c r="R9" s="60" t="n">
        <f aca="false">Utilisation!R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R$105</f>
        <v>0</v>
      </c>
      <c r="S9" s="60" t="n">
        <f aca="false">Utilisation!S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S$105</f>
        <v>0</v>
      </c>
      <c r="T9" s="60" t="n">
        <f aca="false">Utilisation!T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T$105</f>
        <v>0</v>
      </c>
      <c r="U9" s="60" t="n">
        <f aca="false">Utilisation!U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U$105</f>
        <v>0</v>
      </c>
      <c r="V9" s="60" t="n">
        <f aca="false">Utilisation!V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V$105</f>
        <v>0</v>
      </c>
      <c r="W9" s="60" t="n">
        <f aca="false">Utilisation!W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W$105</f>
        <v>0</v>
      </c>
      <c r="X9" s="60" t="n">
        <f aca="false">Utilisation!X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X$105</f>
        <v>0</v>
      </c>
      <c r="Y9" s="60" t="n">
        <f aca="false">Utilisation!Y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Y$105</f>
        <v>0</v>
      </c>
      <c r="Z9" s="60" t="n">
        <f aca="false">Utilisation!Z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Z$105</f>
        <v>0</v>
      </c>
      <c r="AA9" s="60" t="n">
        <f aca="false">Utilisation!AA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AA$105</f>
        <v>0</v>
      </c>
      <c r="AB9" s="60" t="n">
        <f aca="false">Utilisation!AB22*(INDEX(Inputs_Actuals!$E$132:$AB$132,Assumptions!$C$10)*Assumptions!$C$40+INDEX(Inputs_Actuals!$E$133:$AB$133,Assumptions!$C$10)*Assumptions!$C$41+INDEX(Inputs_Actuals!$E$134:$AB$134,Assumptions!$C$10)*Assumptions!$C$42+INDEX(Inputs_Actuals!$E$135:$AB$135,Assumptions!$C$10)*Assumptions!$C$43+INDEX(Inputs_Actuals!$E$136:$AB$136,Assumptions!$C$10)*Assumptions!$C$44+INDEX(Inputs_Actuals!$E$137:$AB$137,Assumptions!$C$10)*Assumptions!$C$45)/(INDEX(Inputs_Actuals!$E$132:$AB$132,Assumptions!$C$10)+INDEX(Inputs_Actuals!$E$133:$AB$133,Assumptions!$C$10)+INDEX(Inputs_Actuals!$E$134:$AB$134,Assumptions!$C$10)+INDEX(Inputs_Actuals!$E$135:$AB$135,Assumptions!$C$10)+INDEX(Inputs_Actuals!$E$136:$AB$136,Assumptions!$C$10)+INDEX(Inputs_Actuals!$E$137:$AB$137,Assumptions!$C$10))*Assumptions!AB$105</f>
        <v>0</v>
      </c>
    </row>
    <row r="10" customFormat="false" ht="15" hidden="false" customHeight="false" outlineLevel="0" collapsed="false">
      <c r="A10" s="28" t="s">
        <v>1087</v>
      </c>
      <c r="B10" s="58" t="s">
        <v>1088</v>
      </c>
      <c r="C10" s="59" t="n">
        <f aca="false">SUM(E10:P10)</f>
        <v>1644309</v>
      </c>
      <c r="D10" s="59" t="n">
        <f aca="false">SUM(Q10:AB10)</f>
        <v>1853474.7</v>
      </c>
      <c r="E10" s="60" t="n">
        <f aca="false">IF(E$5="A",Inputs_Actuals!E152,(Utilisation!E24*Assumptions!$C$40+Utilisation!E32*Assumptions!$C$41+Utilisation!E40*Assumptions!$C$42+Utilisation!E48*Assumptions!$C$43+Utilisation!E56*Assumptions!$C$44+Utilisation!E64*Assumptions!$C$45)*Assumptions!E$105+E9)</f>
        <v>133124</v>
      </c>
      <c r="F10" s="60" t="n">
        <f aca="false">IF(F$5="A",Inputs_Actuals!F152,(Utilisation!F24*Assumptions!$C$40+Utilisation!F32*Assumptions!$C$41+Utilisation!F40*Assumptions!$C$42+Utilisation!F48*Assumptions!$C$43+Utilisation!F56*Assumptions!$C$44+Utilisation!F64*Assumptions!$C$45)*Assumptions!F$105+F9)</f>
        <v>132557</v>
      </c>
      <c r="G10" s="60" t="n">
        <f aca="false">IF(G$5="A",Inputs_Actuals!G152,(Utilisation!G24*Assumptions!$C$40+Utilisation!G32*Assumptions!$C$41+Utilisation!G40*Assumptions!$C$42+Utilisation!G48*Assumptions!$C$43+Utilisation!G56*Assumptions!$C$44+Utilisation!G64*Assumptions!$C$45)*Assumptions!G$105+G9)</f>
        <v>134790</v>
      </c>
      <c r="H10" s="60" t="n">
        <f aca="false">IF(H$5="A",Inputs_Actuals!H152,(Utilisation!H24*Assumptions!$C$40+Utilisation!H32*Assumptions!$C$41+Utilisation!H40*Assumptions!$C$42+Utilisation!H48*Assumptions!$C$43+Utilisation!H56*Assumptions!$C$44+Utilisation!H64*Assumptions!$C$45)*Assumptions!H$105+H9)</f>
        <v>139333</v>
      </c>
      <c r="I10" s="60" t="n">
        <f aca="false">IF(I$5="A",Inputs_Actuals!I152,(Utilisation!I24*Assumptions!$C$40+Utilisation!I32*Assumptions!$C$41+Utilisation!I40*Assumptions!$C$42+Utilisation!I48*Assumptions!$C$43+Utilisation!I56*Assumptions!$C$44+Utilisation!I64*Assumptions!$C$45)*Assumptions!I$105+I9)</f>
        <v>132804</v>
      </c>
      <c r="J10" s="60" t="n">
        <f aca="false">IF(J$5="A",Inputs_Actuals!J152,(Utilisation!J24*Assumptions!$C$40+Utilisation!J32*Assumptions!$C$41+Utilisation!J40*Assumptions!$C$42+Utilisation!J48*Assumptions!$C$43+Utilisation!J56*Assumptions!$C$44+Utilisation!J64*Assumptions!$C$45)*Assumptions!J$105+J9)</f>
        <v>132502</v>
      </c>
      <c r="K10" s="60" t="n">
        <f aca="false">IF(K$5="A",Inputs_Actuals!K152,(Utilisation!K24*Assumptions!$C$40+Utilisation!K32*Assumptions!$C$41+Utilisation!K40*Assumptions!$C$42+Utilisation!K48*Assumptions!$C$43+Utilisation!K56*Assumptions!$C$44+Utilisation!K64*Assumptions!$C$45)*Assumptions!K$105+K9)</f>
        <v>136778</v>
      </c>
      <c r="L10" s="60" t="n">
        <f aca="false">IF(L$5="A",Inputs_Actuals!L152,(Utilisation!L24*Assumptions!$C$40+Utilisation!L32*Assumptions!$C$41+Utilisation!L40*Assumptions!$C$42+Utilisation!L48*Assumptions!$C$43+Utilisation!L56*Assumptions!$C$44+Utilisation!L64*Assumptions!$C$45)*Assumptions!L$105+L9)</f>
        <v>137521</v>
      </c>
      <c r="M10" s="60" t="n">
        <f aca="false">IF(M$5="A",Inputs_Actuals!M152,(Utilisation!M24*Assumptions!$C$40+Utilisation!M32*Assumptions!$C$41+Utilisation!M40*Assumptions!$C$42+Utilisation!M48*Assumptions!$C$43+Utilisation!M56*Assumptions!$C$44+Utilisation!M64*Assumptions!$C$45)*Assumptions!M$105+M9)</f>
        <v>135700</v>
      </c>
      <c r="N10" s="60" t="n">
        <f aca="false">IF(N$5="A",Inputs_Actuals!N152,(Utilisation!N24*Assumptions!$C$40+Utilisation!N32*Assumptions!$C$41+Utilisation!N40*Assumptions!$C$42+Utilisation!N48*Assumptions!$C$43+Utilisation!N56*Assumptions!$C$44+Utilisation!N64*Assumptions!$C$45)*Assumptions!N$105+N9)</f>
        <v>140600</v>
      </c>
      <c r="O10" s="60" t="n">
        <f aca="false">IF(O$5="A",Inputs_Actuals!O152,(Utilisation!O24*Assumptions!$C$40+Utilisation!O32*Assumptions!$C$41+Utilisation!O40*Assumptions!$C$42+Utilisation!O48*Assumptions!$C$43+Utilisation!O56*Assumptions!$C$44+Utilisation!O64*Assumptions!$C$45)*Assumptions!O$105+O9)</f>
        <v>144300</v>
      </c>
      <c r="P10" s="60" t="n">
        <f aca="false">IF(P$5="A",Inputs_Actuals!P152,(Utilisation!P24*Assumptions!$C$40+Utilisation!P32*Assumptions!$C$41+Utilisation!P40*Assumptions!$C$42+Utilisation!P48*Assumptions!$C$43+Utilisation!P56*Assumptions!$C$44+Utilisation!P64*Assumptions!$C$45)*Assumptions!P$105+P9)</f>
        <v>144300</v>
      </c>
      <c r="Q10" s="60" t="n">
        <f aca="false">IF(Q$5="A",Inputs_Actuals!Q152,(Utilisation!Q24*Assumptions!$C$40+Utilisation!Q32*Assumptions!$C$41+Utilisation!Q40*Assumptions!$C$42+Utilisation!Q48*Assumptions!$C$43+Utilisation!Q56*Assumptions!$C$44+Utilisation!Q64*Assumptions!$C$45)*Assumptions!Q$105+Q9)</f>
        <v>153097.725</v>
      </c>
      <c r="R10" s="60" t="n">
        <f aca="false">IF(R$5="A",Inputs_Actuals!R152,(Utilisation!R24*Assumptions!$C$40+Utilisation!R32*Assumptions!$C$41+Utilisation!R40*Assumptions!$C$42+Utilisation!R48*Assumptions!$C$43+Utilisation!R56*Assumptions!$C$44+Utilisation!R64*Assumptions!$C$45)*Assumptions!R$105+R9)</f>
        <v>153097.725</v>
      </c>
      <c r="S10" s="60" t="n">
        <f aca="false">IF(S$5="A",Inputs_Actuals!S152,(Utilisation!S24*Assumptions!$C$40+Utilisation!S32*Assumptions!$C$41+Utilisation!S40*Assumptions!$C$42+Utilisation!S48*Assumptions!$C$43+Utilisation!S56*Assumptions!$C$44+Utilisation!S64*Assumptions!$C$45)*Assumptions!S$105+S9)</f>
        <v>154727.925</v>
      </c>
      <c r="T10" s="60" t="n">
        <f aca="false">IF(T$5="A",Inputs_Actuals!T152,(Utilisation!T24*Assumptions!$C$40+Utilisation!T32*Assumptions!$C$41+Utilisation!T40*Assumptions!$C$42+Utilisation!T48*Assumptions!$C$43+Utilisation!T56*Assumptions!$C$44+Utilisation!T64*Assumptions!$C$45)*Assumptions!T$105+T9)</f>
        <v>154727.925</v>
      </c>
      <c r="U10" s="60" t="n">
        <f aca="false">IF(U$5="A",Inputs_Actuals!U152,(Utilisation!U24*Assumptions!$C$40+Utilisation!U32*Assumptions!$C$41+Utilisation!U40*Assumptions!$C$42+Utilisation!U48*Assumptions!$C$43+Utilisation!U56*Assumptions!$C$44+Utilisation!U64*Assumptions!$C$45)*Assumptions!U$105+U9)</f>
        <v>154727.925</v>
      </c>
      <c r="V10" s="60" t="n">
        <f aca="false">IF(V$5="A",Inputs_Actuals!V152,(Utilisation!V24*Assumptions!$C$40+Utilisation!V32*Assumptions!$C$41+Utilisation!V40*Assumptions!$C$42+Utilisation!V48*Assumptions!$C$43+Utilisation!V56*Assumptions!$C$44+Utilisation!V64*Assumptions!$C$45)*Assumptions!V$105+V9)</f>
        <v>154727.925</v>
      </c>
      <c r="W10" s="60" t="n">
        <f aca="false">IF(W$5="A",Inputs_Actuals!W152,(Utilisation!W24*Assumptions!$C$40+Utilisation!W32*Assumptions!$C$41+Utilisation!W40*Assumptions!$C$42+Utilisation!W48*Assumptions!$C$43+Utilisation!W56*Assumptions!$C$44+Utilisation!W64*Assumptions!$C$45)*Assumptions!W$105+W9)</f>
        <v>154727.925</v>
      </c>
      <c r="X10" s="60" t="n">
        <f aca="false">IF(X$5="A",Inputs_Actuals!X152,(Utilisation!X24*Assumptions!$C$40+Utilisation!X32*Assumptions!$C$41+Utilisation!X40*Assumptions!$C$42+Utilisation!X48*Assumptions!$C$43+Utilisation!X56*Assumptions!$C$44+Utilisation!X64*Assumptions!$C$45)*Assumptions!X$105+X9)</f>
        <v>154727.925</v>
      </c>
      <c r="Y10" s="60" t="n">
        <f aca="false">IF(Y$5="A",Inputs_Actuals!Y152,(Utilisation!Y24*Assumptions!$C$40+Utilisation!Y32*Assumptions!$C$41+Utilisation!Y40*Assumptions!$C$42+Utilisation!Y48*Assumptions!$C$43+Utilisation!Y56*Assumptions!$C$44+Utilisation!Y64*Assumptions!$C$45)*Assumptions!Y$105+Y9)</f>
        <v>154727.925</v>
      </c>
      <c r="Z10" s="60" t="n">
        <f aca="false">IF(Z$5="A",Inputs_Actuals!Z152,(Utilisation!Z24*Assumptions!$C$40+Utilisation!Z32*Assumptions!$C$41+Utilisation!Z40*Assumptions!$C$42+Utilisation!Z48*Assumptions!$C$43+Utilisation!Z56*Assumptions!$C$44+Utilisation!Z64*Assumptions!$C$45)*Assumptions!Z$105+Z9)</f>
        <v>154727.925</v>
      </c>
      <c r="AA10" s="60" t="n">
        <f aca="false">IF(AA$5="A",Inputs_Actuals!AA152,(Utilisation!AA24*Assumptions!$C$40+Utilisation!AA32*Assumptions!$C$41+Utilisation!AA40*Assumptions!$C$42+Utilisation!AA48*Assumptions!$C$43+Utilisation!AA56*Assumptions!$C$44+Utilisation!AA64*Assumptions!$C$45)*Assumptions!AA$105+AA9)</f>
        <v>154727.925</v>
      </c>
      <c r="AB10" s="60" t="n">
        <f aca="false">IF(AB$5="A",Inputs_Actuals!AB152,(Utilisation!AB24*Assumptions!$C$40+Utilisation!AB32*Assumptions!$C$41+Utilisation!AB40*Assumptions!$C$42+Utilisation!AB48*Assumptions!$C$43+Utilisation!AB56*Assumptions!$C$44+Utilisation!AB64*Assumptions!$C$45)*Assumptions!AB$105+AB9)</f>
        <v>154727.925</v>
      </c>
    </row>
    <row r="11" customFormat="false" ht="15" hidden="false" customHeight="false" outlineLevel="0" collapsed="false">
      <c r="A11" s="28" t="s">
        <v>1089</v>
      </c>
      <c r="B11" s="58" t="s">
        <v>1090</v>
      </c>
      <c r="C11" s="59" t="n">
        <f aca="false">SUM(E11:P11)</f>
        <v>555776.442</v>
      </c>
      <c r="D11" s="59" t="n">
        <f aca="false">SUM(Q11:AB11)</f>
        <v>626474.4486</v>
      </c>
      <c r="E11" s="60" t="n">
        <f aca="false">E10*(Assumptions!$C$20+Assumptions!$C$21)</f>
        <v>44995.912</v>
      </c>
      <c r="F11" s="60" t="n">
        <f aca="false">F10*(Assumptions!$C$20+Assumptions!$C$21)</f>
        <v>44804.266</v>
      </c>
      <c r="G11" s="60" t="n">
        <f aca="false">G10*(Assumptions!$C$20+Assumptions!$C$21)</f>
        <v>45559.02</v>
      </c>
      <c r="H11" s="60" t="n">
        <f aca="false">H10*(Assumptions!$C$20+Assumptions!$C$21)</f>
        <v>47094.554</v>
      </c>
      <c r="I11" s="60" t="n">
        <f aca="false">I10*(Assumptions!$C$20+Assumptions!$C$21)</f>
        <v>44887.752</v>
      </c>
      <c r="J11" s="60" t="n">
        <f aca="false">J10*(Assumptions!$C$20+Assumptions!$C$21)</f>
        <v>44785.676</v>
      </c>
      <c r="K11" s="60" t="n">
        <f aca="false">K10*(Assumptions!$C$20+Assumptions!$C$21)</f>
        <v>46230.964</v>
      </c>
      <c r="L11" s="60" t="n">
        <f aca="false">L10*(Assumptions!$C$20+Assumptions!$C$21)</f>
        <v>46482.098</v>
      </c>
      <c r="M11" s="60" t="n">
        <f aca="false">M10*(Assumptions!$C$20+Assumptions!$C$21)</f>
        <v>45866.6</v>
      </c>
      <c r="N11" s="60" t="n">
        <f aca="false">N10*(Assumptions!$C$20+Assumptions!$C$21)</f>
        <v>47522.8</v>
      </c>
      <c r="O11" s="60" t="n">
        <f aca="false">O10*(Assumptions!$C$20+Assumptions!$C$21)</f>
        <v>48773.4</v>
      </c>
      <c r="P11" s="60" t="n">
        <f aca="false">P10*(Assumptions!$C$20+Assumptions!$C$21)</f>
        <v>48773.4</v>
      </c>
      <c r="Q11" s="60" t="n">
        <f aca="false">Q10*(Assumptions!$C$20+Assumptions!$C$21)</f>
        <v>51747.03105</v>
      </c>
      <c r="R11" s="60" t="n">
        <f aca="false">R10*(Assumptions!$C$20+Assumptions!$C$21)</f>
        <v>51747.03105</v>
      </c>
      <c r="S11" s="60" t="n">
        <f aca="false">S10*(Assumptions!$C$20+Assumptions!$C$21)</f>
        <v>52298.03865</v>
      </c>
      <c r="T11" s="60" t="n">
        <f aca="false">T10*(Assumptions!$C$20+Assumptions!$C$21)</f>
        <v>52298.03865</v>
      </c>
      <c r="U11" s="60" t="n">
        <f aca="false">U10*(Assumptions!$C$20+Assumptions!$C$21)</f>
        <v>52298.03865</v>
      </c>
      <c r="V11" s="60" t="n">
        <f aca="false">V10*(Assumptions!$C$20+Assumptions!$C$21)</f>
        <v>52298.03865</v>
      </c>
      <c r="W11" s="60" t="n">
        <f aca="false">W10*(Assumptions!$C$20+Assumptions!$C$21)</f>
        <v>52298.03865</v>
      </c>
      <c r="X11" s="60" t="n">
        <f aca="false">X10*(Assumptions!$C$20+Assumptions!$C$21)</f>
        <v>52298.03865</v>
      </c>
      <c r="Y11" s="60" t="n">
        <f aca="false">Y10*(Assumptions!$C$20+Assumptions!$C$21)</f>
        <v>52298.03865</v>
      </c>
      <c r="Z11" s="60" t="n">
        <f aca="false">Z10*(Assumptions!$C$20+Assumptions!$C$21)</f>
        <v>52298.03865</v>
      </c>
      <c r="AA11" s="60" t="n">
        <f aca="false">AA10*(Assumptions!$C$20+Assumptions!$C$21)</f>
        <v>52298.03865</v>
      </c>
      <c r="AB11" s="60" t="n">
        <f aca="false">AB10*(Assumptions!$C$20+Assumptions!$C$21)</f>
        <v>52298.03865</v>
      </c>
    </row>
    <row r="12" customFormat="false" ht="15" hidden="false" customHeight="false" outlineLevel="0" collapsed="false">
      <c r="A12" s="68" t="s">
        <v>1091</v>
      </c>
      <c r="B12" s="69"/>
      <c r="C12" s="70" t="n">
        <f aca="false">SUM(E12:P12)</f>
        <v>2200085.442</v>
      </c>
      <c r="D12" s="70" t="n">
        <f aca="false">SUM(Q12:AB12)</f>
        <v>2479949.1486</v>
      </c>
      <c r="E12" s="70" t="n">
        <f aca="false">E10+E11</f>
        <v>178119.912</v>
      </c>
      <c r="F12" s="70" t="n">
        <f aca="false">F10+F11</f>
        <v>177361.266</v>
      </c>
      <c r="G12" s="70" t="n">
        <f aca="false">G10+G11</f>
        <v>180349.02</v>
      </c>
      <c r="H12" s="70" t="n">
        <f aca="false">H10+H11</f>
        <v>186427.554</v>
      </c>
      <c r="I12" s="70" t="n">
        <f aca="false">I10+I11</f>
        <v>177691.752</v>
      </c>
      <c r="J12" s="70" t="n">
        <f aca="false">J10+J11</f>
        <v>177287.676</v>
      </c>
      <c r="K12" s="70" t="n">
        <f aca="false">K10+K11</f>
        <v>183008.964</v>
      </c>
      <c r="L12" s="70" t="n">
        <f aca="false">L10+L11</f>
        <v>184003.098</v>
      </c>
      <c r="M12" s="70" t="n">
        <f aca="false">M10+M11</f>
        <v>181566.6</v>
      </c>
      <c r="N12" s="70" t="n">
        <f aca="false">N10+N11</f>
        <v>188122.8</v>
      </c>
      <c r="O12" s="70" t="n">
        <f aca="false">O10+O11</f>
        <v>193073.4</v>
      </c>
      <c r="P12" s="70" t="n">
        <f aca="false">P10+P11</f>
        <v>193073.4</v>
      </c>
      <c r="Q12" s="70" t="n">
        <f aca="false">Q10+Q11</f>
        <v>204844.75605</v>
      </c>
      <c r="R12" s="70" t="n">
        <f aca="false">R10+R11</f>
        <v>204844.75605</v>
      </c>
      <c r="S12" s="70" t="n">
        <f aca="false">S10+S11</f>
        <v>207025.96365</v>
      </c>
      <c r="T12" s="70" t="n">
        <f aca="false">T10+T11</f>
        <v>207025.96365</v>
      </c>
      <c r="U12" s="70" t="n">
        <f aca="false">U10+U11</f>
        <v>207025.96365</v>
      </c>
      <c r="V12" s="70" t="n">
        <f aca="false">V10+V11</f>
        <v>207025.96365</v>
      </c>
      <c r="W12" s="70" t="n">
        <f aca="false">W10+W11</f>
        <v>207025.96365</v>
      </c>
      <c r="X12" s="70" t="n">
        <f aca="false">X10+X11</f>
        <v>207025.96365</v>
      </c>
      <c r="Y12" s="70" t="n">
        <f aca="false">Y10+Y11</f>
        <v>207025.96365</v>
      </c>
      <c r="Z12" s="70" t="n">
        <f aca="false">Z10+Z11</f>
        <v>207025.96365</v>
      </c>
      <c r="AA12" s="70" t="n">
        <f aca="false">AA10+AA11</f>
        <v>207025.96365</v>
      </c>
      <c r="AB12" s="70" t="n">
        <f aca="false">AB10+AB11</f>
        <v>207025.96365</v>
      </c>
    </row>
    <row r="13" customFormat="false" ht="15" hidden="false" customHeight="false" outlineLevel="0" collapsed="false">
      <c r="A13" s="22" t="s">
        <v>1092</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false" outlineLevel="0" collapsed="false">
      <c r="A14" s="28" t="s">
        <v>1093</v>
      </c>
      <c r="B14" s="58" t="s">
        <v>1094</v>
      </c>
      <c r="C14" s="103" t="n">
        <v>7800</v>
      </c>
      <c r="D14" s="116" t="n">
        <v>42490</v>
      </c>
      <c r="E14" s="60" t="n">
        <f aca="false">IF(Assumptions!E$98&gt;=$D$14,$C$14*Assumptions!E$105,0)</f>
        <v>7800</v>
      </c>
      <c r="F14" s="60" t="n">
        <f aca="false">IF(Assumptions!F$98&gt;=$D$14,$C$14*Assumptions!F$105,0)</f>
        <v>7800</v>
      </c>
      <c r="G14" s="60" t="n">
        <f aca="false">IF(Assumptions!G$98&gt;=$D$14,$C$14*Assumptions!G$105,0)</f>
        <v>7800</v>
      </c>
      <c r="H14" s="60" t="n">
        <f aca="false">IF(Assumptions!H$98&gt;=$D$14,$C$14*Assumptions!H$105,0)</f>
        <v>7800</v>
      </c>
      <c r="I14" s="60" t="n">
        <f aca="false">IF(Assumptions!I$98&gt;=$D$14,$C$14*Assumptions!I$105,0)</f>
        <v>7800</v>
      </c>
      <c r="J14" s="60" t="n">
        <f aca="false">IF(Assumptions!J$98&gt;=$D$14,$C$14*Assumptions!J$105,0)</f>
        <v>7800</v>
      </c>
      <c r="K14" s="60" t="n">
        <f aca="false">IF(Assumptions!K$98&gt;=$D$14,$C$14*Assumptions!K$105,0)</f>
        <v>7800</v>
      </c>
      <c r="L14" s="60" t="n">
        <f aca="false">IF(Assumptions!L$98&gt;=$D$14,$C$14*Assumptions!L$105,0)</f>
        <v>7800</v>
      </c>
      <c r="M14" s="60" t="n">
        <f aca="false">IF(Assumptions!M$98&gt;=$D$14,$C$14*Assumptions!M$105,0)</f>
        <v>7800</v>
      </c>
      <c r="N14" s="60" t="n">
        <f aca="false">IF(Assumptions!N$98&gt;=$D$14,$C$14*Assumptions!N$105,0)</f>
        <v>7800</v>
      </c>
      <c r="O14" s="60" t="n">
        <f aca="false">IF(Assumptions!O$98&gt;=$D$14,$C$14*Assumptions!O$105,0)</f>
        <v>7800</v>
      </c>
      <c r="P14" s="60" t="n">
        <f aca="false">IF(Assumptions!P$98&gt;=$D$14,$C$14*Assumptions!P$105,0)</f>
        <v>7800</v>
      </c>
      <c r="Q14" s="60" t="n">
        <f aca="false">IF(Assumptions!Q$98&gt;=$D$14,$C$14*Assumptions!Q$105,0)</f>
        <v>8151</v>
      </c>
      <c r="R14" s="60" t="n">
        <f aca="false">IF(Assumptions!R$98&gt;=$D$14,$C$14*Assumptions!R$105,0)</f>
        <v>8151</v>
      </c>
      <c r="S14" s="60" t="n">
        <f aca="false">IF(Assumptions!S$98&gt;=$D$14,$C$14*Assumptions!S$105,0)</f>
        <v>8151</v>
      </c>
      <c r="T14" s="60" t="n">
        <f aca="false">IF(Assumptions!T$98&gt;=$D$14,$C$14*Assumptions!T$105,0)</f>
        <v>8151</v>
      </c>
      <c r="U14" s="60" t="n">
        <f aca="false">IF(Assumptions!U$98&gt;=$D$14,$C$14*Assumptions!U$105,0)</f>
        <v>8151</v>
      </c>
      <c r="V14" s="60" t="n">
        <f aca="false">IF(Assumptions!V$98&gt;=$D$14,$C$14*Assumptions!V$105,0)</f>
        <v>8151</v>
      </c>
      <c r="W14" s="60" t="n">
        <f aca="false">IF(Assumptions!W$98&gt;=$D$14,$C$14*Assumptions!W$105,0)</f>
        <v>8151</v>
      </c>
      <c r="X14" s="60" t="n">
        <f aca="false">IF(Assumptions!X$98&gt;=$D$14,$C$14*Assumptions!X$105,0)</f>
        <v>8151</v>
      </c>
      <c r="Y14" s="60" t="n">
        <f aca="false">IF(Assumptions!Y$98&gt;=$D$14,$C$14*Assumptions!Y$105,0)</f>
        <v>8151</v>
      </c>
      <c r="Z14" s="60" t="n">
        <f aca="false">IF(Assumptions!Z$98&gt;=$D$14,$C$14*Assumptions!Z$105,0)</f>
        <v>8151</v>
      </c>
      <c r="AA14" s="60" t="n">
        <f aca="false">IF(Assumptions!AA$98&gt;=$D$14,$C$14*Assumptions!AA$105,0)</f>
        <v>8151</v>
      </c>
      <c r="AB14" s="60" t="n">
        <f aca="false">IF(Assumptions!AB$98&gt;=$D$14,$C$14*Assumptions!AB$105,0)</f>
        <v>8151</v>
      </c>
    </row>
    <row r="15" customFormat="false" ht="15" hidden="false" customHeight="false" outlineLevel="0" collapsed="false">
      <c r="A15" s="28" t="s">
        <v>266</v>
      </c>
      <c r="B15" s="58" t="s">
        <v>1094</v>
      </c>
      <c r="C15" s="103" t="n">
        <v>4900</v>
      </c>
      <c r="D15" s="116" t="n">
        <v>43524</v>
      </c>
      <c r="E15" s="60" t="n">
        <f aca="false">IF(Assumptions!E$98&gt;=$D$15,$C$15*Assumptions!E$105,0)</f>
        <v>4900</v>
      </c>
      <c r="F15" s="60" t="n">
        <f aca="false">IF(Assumptions!F$98&gt;=$D$15,$C$15*Assumptions!F$105,0)</f>
        <v>4900</v>
      </c>
      <c r="G15" s="60" t="n">
        <f aca="false">IF(Assumptions!G$98&gt;=$D$15,$C$15*Assumptions!G$105,0)</f>
        <v>4900</v>
      </c>
      <c r="H15" s="60" t="n">
        <f aca="false">IF(Assumptions!H$98&gt;=$D$15,$C$15*Assumptions!H$105,0)</f>
        <v>4900</v>
      </c>
      <c r="I15" s="60" t="n">
        <f aca="false">IF(Assumptions!I$98&gt;=$D$15,$C$15*Assumptions!I$105,0)</f>
        <v>4900</v>
      </c>
      <c r="J15" s="60" t="n">
        <f aca="false">IF(Assumptions!J$98&gt;=$D$15,$C$15*Assumptions!J$105,0)</f>
        <v>4900</v>
      </c>
      <c r="K15" s="60" t="n">
        <f aca="false">IF(Assumptions!K$98&gt;=$D$15,$C$15*Assumptions!K$105,0)</f>
        <v>4900</v>
      </c>
      <c r="L15" s="60" t="n">
        <f aca="false">IF(Assumptions!L$98&gt;=$D$15,$C$15*Assumptions!L$105,0)</f>
        <v>4900</v>
      </c>
      <c r="M15" s="60" t="n">
        <f aca="false">IF(Assumptions!M$98&gt;=$D$15,$C$15*Assumptions!M$105,0)</f>
        <v>4900</v>
      </c>
      <c r="N15" s="60" t="n">
        <f aca="false">IF(Assumptions!N$98&gt;=$D$15,$C$15*Assumptions!N$105,0)</f>
        <v>4900</v>
      </c>
      <c r="O15" s="60" t="n">
        <f aca="false">IF(Assumptions!O$98&gt;=$D$15,$C$15*Assumptions!O$105,0)</f>
        <v>4900</v>
      </c>
      <c r="P15" s="60" t="n">
        <f aca="false">IF(Assumptions!P$98&gt;=$D$15,$C$15*Assumptions!P$105,0)</f>
        <v>4900</v>
      </c>
      <c r="Q15" s="60" t="n">
        <f aca="false">IF(Assumptions!Q$98&gt;=$D$15,$C$15*Assumptions!Q$105,0)</f>
        <v>5120.5</v>
      </c>
      <c r="R15" s="60" t="n">
        <f aca="false">IF(Assumptions!R$98&gt;=$D$15,$C$15*Assumptions!R$105,0)</f>
        <v>5120.5</v>
      </c>
      <c r="S15" s="60" t="n">
        <f aca="false">IF(Assumptions!S$98&gt;=$D$15,$C$15*Assumptions!S$105,0)</f>
        <v>5120.5</v>
      </c>
      <c r="T15" s="60" t="n">
        <f aca="false">IF(Assumptions!T$98&gt;=$D$15,$C$15*Assumptions!T$105,0)</f>
        <v>5120.5</v>
      </c>
      <c r="U15" s="60" t="n">
        <f aca="false">IF(Assumptions!U$98&gt;=$D$15,$C$15*Assumptions!U$105,0)</f>
        <v>5120.5</v>
      </c>
      <c r="V15" s="60" t="n">
        <f aca="false">IF(Assumptions!V$98&gt;=$D$15,$C$15*Assumptions!V$105,0)</f>
        <v>5120.5</v>
      </c>
      <c r="W15" s="60" t="n">
        <f aca="false">IF(Assumptions!W$98&gt;=$D$15,$C$15*Assumptions!W$105,0)</f>
        <v>5120.5</v>
      </c>
      <c r="X15" s="60" t="n">
        <f aca="false">IF(Assumptions!X$98&gt;=$D$15,$C$15*Assumptions!X$105,0)</f>
        <v>5120.5</v>
      </c>
      <c r="Y15" s="60" t="n">
        <f aca="false">IF(Assumptions!Y$98&gt;=$D$15,$C$15*Assumptions!Y$105,0)</f>
        <v>5120.5</v>
      </c>
      <c r="Z15" s="60" t="n">
        <f aca="false">IF(Assumptions!Z$98&gt;=$D$15,$C$15*Assumptions!Z$105,0)</f>
        <v>5120.5</v>
      </c>
      <c r="AA15" s="60" t="n">
        <f aca="false">IF(Assumptions!AA$98&gt;=$D$15,$C$15*Assumptions!AA$105,0)</f>
        <v>5120.5</v>
      </c>
      <c r="AB15" s="60" t="n">
        <f aca="false">IF(Assumptions!AB$98&gt;=$D$15,$C$15*Assumptions!AB$105,0)</f>
        <v>5120.5</v>
      </c>
    </row>
    <row r="16" customFormat="false" ht="15" hidden="false" customHeight="false" outlineLevel="0" collapsed="false">
      <c r="A16" s="28" t="s">
        <v>1095</v>
      </c>
      <c r="B16" s="58" t="s">
        <v>1094</v>
      </c>
      <c r="C16" s="103" t="n">
        <v>5400</v>
      </c>
      <c r="D16" s="116" t="n">
        <v>44469</v>
      </c>
      <c r="E16" s="60" t="n">
        <f aca="false">IF(Assumptions!E$98&gt;=$D$16,$C$16*Assumptions!E$105,0)</f>
        <v>5400</v>
      </c>
      <c r="F16" s="60" t="n">
        <f aca="false">IF(Assumptions!F$98&gt;=$D$16,$C$16*Assumptions!F$105,0)</f>
        <v>5400</v>
      </c>
      <c r="G16" s="60" t="n">
        <f aca="false">IF(Assumptions!G$98&gt;=$D$16,$C$16*Assumptions!G$105,0)</f>
        <v>5400</v>
      </c>
      <c r="H16" s="60" t="n">
        <f aca="false">IF(Assumptions!H$98&gt;=$D$16,$C$16*Assumptions!H$105,0)</f>
        <v>5400</v>
      </c>
      <c r="I16" s="60" t="n">
        <f aca="false">IF(Assumptions!I$98&gt;=$D$16,$C$16*Assumptions!I$105,0)</f>
        <v>5400</v>
      </c>
      <c r="J16" s="60" t="n">
        <f aca="false">IF(Assumptions!J$98&gt;=$D$16,$C$16*Assumptions!J$105,0)</f>
        <v>5400</v>
      </c>
      <c r="K16" s="60" t="n">
        <f aca="false">IF(Assumptions!K$98&gt;=$D$16,$C$16*Assumptions!K$105,0)</f>
        <v>5400</v>
      </c>
      <c r="L16" s="60" t="n">
        <f aca="false">IF(Assumptions!L$98&gt;=$D$16,$C$16*Assumptions!L$105,0)</f>
        <v>5400</v>
      </c>
      <c r="M16" s="60" t="n">
        <f aca="false">IF(Assumptions!M$98&gt;=$D$16,$C$16*Assumptions!M$105,0)</f>
        <v>5400</v>
      </c>
      <c r="N16" s="60" t="n">
        <f aca="false">IF(Assumptions!N$98&gt;=$D$16,$C$16*Assumptions!N$105,0)</f>
        <v>5400</v>
      </c>
      <c r="O16" s="60" t="n">
        <f aca="false">IF(Assumptions!O$98&gt;=$D$16,$C$16*Assumptions!O$105,0)</f>
        <v>5400</v>
      </c>
      <c r="P16" s="60" t="n">
        <f aca="false">IF(Assumptions!P$98&gt;=$D$16,$C$16*Assumptions!P$105,0)</f>
        <v>5400</v>
      </c>
      <c r="Q16" s="60" t="n">
        <f aca="false">IF(Assumptions!Q$98&gt;=$D$16,$C$16*Assumptions!Q$105,0)</f>
        <v>5643</v>
      </c>
      <c r="R16" s="60" t="n">
        <f aca="false">IF(Assumptions!R$98&gt;=$D$16,$C$16*Assumptions!R$105,0)</f>
        <v>5643</v>
      </c>
      <c r="S16" s="60" t="n">
        <f aca="false">IF(Assumptions!S$98&gt;=$D$16,$C$16*Assumptions!S$105,0)</f>
        <v>5643</v>
      </c>
      <c r="T16" s="60" t="n">
        <f aca="false">IF(Assumptions!T$98&gt;=$D$16,$C$16*Assumptions!T$105,0)</f>
        <v>5643</v>
      </c>
      <c r="U16" s="60" t="n">
        <f aca="false">IF(Assumptions!U$98&gt;=$D$16,$C$16*Assumptions!U$105,0)</f>
        <v>5643</v>
      </c>
      <c r="V16" s="60" t="n">
        <f aca="false">IF(Assumptions!V$98&gt;=$D$16,$C$16*Assumptions!V$105,0)</f>
        <v>5643</v>
      </c>
      <c r="W16" s="60" t="n">
        <f aca="false">IF(Assumptions!W$98&gt;=$D$16,$C$16*Assumptions!W$105,0)</f>
        <v>5643</v>
      </c>
      <c r="X16" s="60" t="n">
        <f aca="false">IF(Assumptions!X$98&gt;=$D$16,$C$16*Assumptions!X$105,0)</f>
        <v>5643</v>
      </c>
      <c r="Y16" s="60" t="n">
        <f aca="false">IF(Assumptions!Y$98&gt;=$D$16,$C$16*Assumptions!Y$105,0)</f>
        <v>5643</v>
      </c>
      <c r="Z16" s="60" t="n">
        <f aca="false">IF(Assumptions!Z$98&gt;=$D$16,$C$16*Assumptions!Z$105,0)</f>
        <v>5643</v>
      </c>
      <c r="AA16" s="60" t="n">
        <f aca="false">IF(Assumptions!AA$98&gt;=$D$16,$C$16*Assumptions!AA$105,0)</f>
        <v>5643</v>
      </c>
      <c r="AB16" s="60" t="n">
        <f aca="false">IF(Assumptions!AB$98&gt;=$D$16,$C$16*Assumptions!AB$105,0)</f>
        <v>5643</v>
      </c>
    </row>
    <row r="17" customFormat="false" ht="15" hidden="false" customHeight="false" outlineLevel="0" collapsed="false">
      <c r="A17" s="28" t="s">
        <v>1096</v>
      </c>
      <c r="B17" s="58" t="s">
        <v>1094</v>
      </c>
      <c r="C17" s="103" t="n">
        <v>3000</v>
      </c>
      <c r="D17" s="116" t="n">
        <v>44074</v>
      </c>
      <c r="E17" s="60" t="n">
        <f aca="false">IF(Assumptions!E$98&gt;=$D$17,$C$17*Assumptions!E$105,0)</f>
        <v>3000</v>
      </c>
      <c r="F17" s="60" t="n">
        <f aca="false">IF(Assumptions!F$98&gt;=$D$17,$C$17*Assumptions!F$105,0)</f>
        <v>3000</v>
      </c>
      <c r="G17" s="60" t="n">
        <f aca="false">IF(Assumptions!G$98&gt;=$D$17,$C$17*Assumptions!G$105,0)</f>
        <v>3000</v>
      </c>
      <c r="H17" s="60" t="n">
        <f aca="false">IF(Assumptions!H$98&gt;=$D$17,$C$17*Assumptions!H$105,0)</f>
        <v>3000</v>
      </c>
      <c r="I17" s="60" t="n">
        <f aca="false">IF(Assumptions!I$98&gt;=$D$17,$C$17*Assumptions!I$105,0)</f>
        <v>3000</v>
      </c>
      <c r="J17" s="60" t="n">
        <f aca="false">IF(Assumptions!J$98&gt;=$D$17,$C$17*Assumptions!J$105,0)</f>
        <v>3000</v>
      </c>
      <c r="K17" s="60" t="n">
        <f aca="false">IF(Assumptions!K$98&gt;=$D$17,$C$17*Assumptions!K$105,0)</f>
        <v>3000</v>
      </c>
      <c r="L17" s="60" t="n">
        <f aca="false">IF(Assumptions!L$98&gt;=$D$17,$C$17*Assumptions!L$105,0)</f>
        <v>3000</v>
      </c>
      <c r="M17" s="60" t="n">
        <f aca="false">IF(Assumptions!M$98&gt;=$D$17,$C$17*Assumptions!M$105,0)</f>
        <v>3000</v>
      </c>
      <c r="N17" s="60" t="n">
        <f aca="false">IF(Assumptions!N$98&gt;=$D$17,$C$17*Assumptions!N$105,0)</f>
        <v>3000</v>
      </c>
      <c r="O17" s="60" t="n">
        <f aca="false">IF(Assumptions!O$98&gt;=$D$17,$C$17*Assumptions!O$105,0)</f>
        <v>3000</v>
      </c>
      <c r="P17" s="60" t="n">
        <f aca="false">IF(Assumptions!P$98&gt;=$D$17,$C$17*Assumptions!P$105,0)</f>
        <v>3000</v>
      </c>
      <c r="Q17" s="60" t="n">
        <f aca="false">IF(Assumptions!Q$98&gt;=$D$17,$C$17*Assumptions!Q$105,0)</f>
        <v>3135</v>
      </c>
      <c r="R17" s="60" t="n">
        <f aca="false">IF(Assumptions!R$98&gt;=$D$17,$C$17*Assumptions!R$105,0)</f>
        <v>3135</v>
      </c>
      <c r="S17" s="60" t="n">
        <f aca="false">IF(Assumptions!S$98&gt;=$D$17,$C$17*Assumptions!S$105,0)</f>
        <v>3135</v>
      </c>
      <c r="T17" s="60" t="n">
        <f aca="false">IF(Assumptions!T$98&gt;=$D$17,$C$17*Assumptions!T$105,0)</f>
        <v>3135</v>
      </c>
      <c r="U17" s="60" t="n">
        <f aca="false">IF(Assumptions!U$98&gt;=$D$17,$C$17*Assumptions!U$105,0)</f>
        <v>3135</v>
      </c>
      <c r="V17" s="60" t="n">
        <f aca="false">IF(Assumptions!V$98&gt;=$D$17,$C$17*Assumptions!V$105,0)</f>
        <v>3135</v>
      </c>
      <c r="W17" s="60" t="n">
        <f aca="false">IF(Assumptions!W$98&gt;=$D$17,$C$17*Assumptions!W$105,0)</f>
        <v>3135</v>
      </c>
      <c r="X17" s="60" t="n">
        <f aca="false">IF(Assumptions!X$98&gt;=$D$17,$C$17*Assumptions!X$105,0)</f>
        <v>3135</v>
      </c>
      <c r="Y17" s="60" t="n">
        <f aca="false">IF(Assumptions!Y$98&gt;=$D$17,$C$17*Assumptions!Y$105,0)</f>
        <v>3135</v>
      </c>
      <c r="Z17" s="60" t="n">
        <f aca="false">IF(Assumptions!Z$98&gt;=$D$17,$C$17*Assumptions!Z$105,0)</f>
        <v>3135</v>
      </c>
      <c r="AA17" s="60" t="n">
        <f aca="false">IF(Assumptions!AA$98&gt;=$D$17,$C$17*Assumptions!AA$105,0)</f>
        <v>3135</v>
      </c>
      <c r="AB17" s="60" t="n">
        <f aca="false">IF(Assumptions!AB$98&gt;=$D$17,$C$17*Assumptions!AB$105,0)</f>
        <v>3135</v>
      </c>
    </row>
    <row r="18" customFormat="false" ht="15" hidden="false" customHeight="false" outlineLevel="0" collapsed="false">
      <c r="A18" s="28" t="s">
        <v>1097</v>
      </c>
      <c r="B18" s="58" t="s">
        <v>1094</v>
      </c>
      <c r="C18" s="103" t="n">
        <v>3300</v>
      </c>
      <c r="D18" s="116" t="n">
        <v>45016</v>
      </c>
      <c r="E18" s="60" t="n">
        <f aca="false">IF(Assumptions!E$98&gt;=$D$18,$C$18*Assumptions!E$105,0)</f>
        <v>3300</v>
      </c>
      <c r="F18" s="60" t="n">
        <f aca="false">IF(Assumptions!F$98&gt;=$D$18,$C$18*Assumptions!F$105,0)</f>
        <v>3300</v>
      </c>
      <c r="G18" s="60" t="n">
        <f aca="false">IF(Assumptions!G$98&gt;=$D$18,$C$18*Assumptions!G$105,0)</f>
        <v>3300</v>
      </c>
      <c r="H18" s="60" t="n">
        <f aca="false">IF(Assumptions!H$98&gt;=$D$18,$C$18*Assumptions!H$105,0)</f>
        <v>3300</v>
      </c>
      <c r="I18" s="60" t="n">
        <f aca="false">IF(Assumptions!I$98&gt;=$D$18,$C$18*Assumptions!I$105,0)</f>
        <v>3300</v>
      </c>
      <c r="J18" s="60" t="n">
        <f aca="false">IF(Assumptions!J$98&gt;=$D$18,$C$18*Assumptions!J$105,0)</f>
        <v>3300</v>
      </c>
      <c r="K18" s="60" t="n">
        <f aca="false">IF(Assumptions!K$98&gt;=$D$18,$C$18*Assumptions!K$105,0)</f>
        <v>3300</v>
      </c>
      <c r="L18" s="60" t="n">
        <f aca="false">IF(Assumptions!L$98&gt;=$D$18,$C$18*Assumptions!L$105,0)</f>
        <v>3300</v>
      </c>
      <c r="M18" s="60" t="n">
        <f aca="false">IF(Assumptions!M$98&gt;=$D$18,$C$18*Assumptions!M$105,0)</f>
        <v>3300</v>
      </c>
      <c r="N18" s="60" t="n">
        <f aca="false">IF(Assumptions!N$98&gt;=$D$18,$C$18*Assumptions!N$105,0)</f>
        <v>3300</v>
      </c>
      <c r="O18" s="60" t="n">
        <f aca="false">IF(Assumptions!O$98&gt;=$D$18,$C$18*Assumptions!O$105,0)</f>
        <v>3300</v>
      </c>
      <c r="P18" s="60" t="n">
        <f aca="false">IF(Assumptions!P$98&gt;=$D$18,$C$18*Assumptions!P$105,0)</f>
        <v>3300</v>
      </c>
      <c r="Q18" s="60" t="n">
        <f aca="false">IF(Assumptions!Q$98&gt;=$D$18,$C$18*Assumptions!Q$105,0)</f>
        <v>3448.5</v>
      </c>
      <c r="R18" s="60" t="n">
        <f aca="false">IF(Assumptions!R$98&gt;=$D$18,$C$18*Assumptions!R$105,0)</f>
        <v>3448.5</v>
      </c>
      <c r="S18" s="60" t="n">
        <f aca="false">IF(Assumptions!S$98&gt;=$D$18,$C$18*Assumptions!S$105,0)</f>
        <v>3448.5</v>
      </c>
      <c r="T18" s="60" t="n">
        <f aca="false">IF(Assumptions!T$98&gt;=$D$18,$C$18*Assumptions!T$105,0)</f>
        <v>3448.5</v>
      </c>
      <c r="U18" s="60" t="n">
        <f aca="false">IF(Assumptions!U$98&gt;=$D$18,$C$18*Assumptions!U$105,0)</f>
        <v>3448.5</v>
      </c>
      <c r="V18" s="60" t="n">
        <f aca="false">IF(Assumptions!V$98&gt;=$D$18,$C$18*Assumptions!V$105,0)</f>
        <v>3448.5</v>
      </c>
      <c r="W18" s="60" t="n">
        <f aca="false">IF(Assumptions!W$98&gt;=$D$18,$C$18*Assumptions!W$105,0)</f>
        <v>3448.5</v>
      </c>
      <c r="X18" s="60" t="n">
        <f aca="false">IF(Assumptions!X$98&gt;=$D$18,$C$18*Assumptions!X$105,0)</f>
        <v>3448.5</v>
      </c>
      <c r="Y18" s="60" t="n">
        <f aca="false">IF(Assumptions!Y$98&gt;=$D$18,$C$18*Assumptions!Y$105,0)</f>
        <v>3448.5</v>
      </c>
      <c r="Z18" s="60" t="n">
        <f aca="false">IF(Assumptions!Z$98&gt;=$D$18,$C$18*Assumptions!Z$105,0)</f>
        <v>3448.5</v>
      </c>
      <c r="AA18" s="60" t="n">
        <f aca="false">IF(Assumptions!AA$98&gt;=$D$18,$C$18*Assumptions!AA$105,0)</f>
        <v>3448.5</v>
      </c>
      <c r="AB18" s="60" t="n">
        <f aca="false">IF(Assumptions!AB$98&gt;=$D$18,$C$18*Assumptions!AB$105,0)</f>
        <v>3448.5</v>
      </c>
    </row>
    <row r="19" customFormat="false" ht="15" hidden="false" customHeight="false" outlineLevel="0" collapsed="false">
      <c r="A19" s="28" t="s">
        <v>1098</v>
      </c>
      <c r="B19" s="58" t="s">
        <v>1094</v>
      </c>
      <c r="C19" s="103" t="n">
        <v>5600</v>
      </c>
      <c r="D19" s="116" t="n">
        <v>46507</v>
      </c>
      <c r="E19" s="60" t="n">
        <f aca="false">IF(Assumptions!E$98&gt;=$D$19,$C$19*Assumptions!E$105*Assumptions!$F$126,0)</f>
        <v>0</v>
      </c>
      <c r="F19" s="60" t="n">
        <f aca="false">IF(Assumptions!F$98&gt;=$D$19,$C$19*Assumptions!F$105*Assumptions!$F$126,0)</f>
        <v>0</v>
      </c>
      <c r="G19" s="60" t="n">
        <f aca="false">IF(Assumptions!G$98&gt;=$D$19,$C$19*Assumptions!G$105*Assumptions!$F$126,0)</f>
        <v>0</v>
      </c>
      <c r="H19" s="60" t="n">
        <f aca="false">IF(Assumptions!H$98&gt;=$D$19,$C$19*Assumptions!H$105*Assumptions!$F$126,0)</f>
        <v>0</v>
      </c>
      <c r="I19" s="60" t="n">
        <f aca="false">IF(Assumptions!I$98&gt;=$D$19,$C$19*Assumptions!I$105*Assumptions!$F$126,0)</f>
        <v>0</v>
      </c>
      <c r="J19" s="60" t="n">
        <f aca="false">IF(Assumptions!J$98&gt;=$D$19,$C$19*Assumptions!J$105*Assumptions!$F$126,0)</f>
        <v>0</v>
      </c>
      <c r="K19" s="60" t="n">
        <f aca="false">IF(Assumptions!K$98&gt;=$D$19,$C$19*Assumptions!K$105*Assumptions!$F$126,0)</f>
        <v>0</v>
      </c>
      <c r="L19" s="60" t="n">
        <f aca="false">IF(Assumptions!L$98&gt;=$D$19,$C$19*Assumptions!L$105*Assumptions!$F$126,0)</f>
        <v>0</v>
      </c>
      <c r="M19" s="60" t="n">
        <f aca="false">IF(Assumptions!M$98&gt;=$D$19,$C$19*Assumptions!M$105*Assumptions!$F$126,0)</f>
        <v>0</v>
      </c>
      <c r="N19" s="60" t="n">
        <f aca="false">IF(Assumptions!N$98&gt;=$D$19,$C$19*Assumptions!N$105*Assumptions!$F$126,0)</f>
        <v>0</v>
      </c>
      <c r="O19" s="60" t="n">
        <f aca="false">IF(Assumptions!O$98&gt;=$D$19,$C$19*Assumptions!O$105*Assumptions!$F$126,0)</f>
        <v>0</v>
      </c>
      <c r="P19" s="60" t="n">
        <f aca="false">IF(Assumptions!P$98&gt;=$D$19,$C$19*Assumptions!P$105*Assumptions!$F$126,0)</f>
        <v>0</v>
      </c>
      <c r="Q19" s="60" t="n">
        <f aca="false">IF(Assumptions!Q$98&gt;=$D$19,$C$19*Assumptions!Q$105*Assumptions!$F$126,0)</f>
        <v>0</v>
      </c>
      <c r="R19" s="60" t="n">
        <f aca="false">IF(Assumptions!R$98&gt;=$D$19,$C$19*Assumptions!R$105*Assumptions!$F$126,0)</f>
        <v>0</v>
      </c>
      <c r="S19" s="60" t="n">
        <f aca="false">IF(Assumptions!S$98&gt;=$D$19,$C$19*Assumptions!S$105*Assumptions!$F$126,0)</f>
        <v>0</v>
      </c>
      <c r="T19" s="60" t="n">
        <f aca="false">IF(Assumptions!T$98&gt;=$D$19,$C$19*Assumptions!T$105*Assumptions!$F$126,0)</f>
        <v>5852</v>
      </c>
      <c r="U19" s="60" t="n">
        <f aca="false">IF(Assumptions!U$98&gt;=$D$19,$C$19*Assumptions!U$105*Assumptions!$F$126,0)</f>
        <v>5852</v>
      </c>
      <c r="V19" s="60" t="n">
        <f aca="false">IF(Assumptions!V$98&gt;=$D$19,$C$19*Assumptions!V$105*Assumptions!$F$126,0)</f>
        <v>5852</v>
      </c>
      <c r="W19" s="60" t="n">
        <f aca="false">IF(Assumptions!W$98&gt;=$D$19,$C$19*Assumptions!W$105*Assumptions!$F$126,0)</f>
        <v>5852</v>
      </c>
      <c r="X19" s="60" t="n">
        <f aca="false">IF(Assumptions!X$98&gt;=$D$19,$C$19*Assumptions!X$105*Assumptions!$F$126,0)</f>
        <v>5852</v>
      </c>
      <c r="Y19" s="60" t="n">
        <f aca="false">IF(Assumptions!Y$98&gt;=$D$19,$C$19*Assumptions!Y$105*Assumptions!$F$126,0)</f>
        <v>5852</v>
      </c>
      <c r="Z19" s="60" t="n">
        <f aca="false">IF(Assumptions!Z$98&gt;=$D$19,$C$19*Assumptions!Z$105*Assumptions!$F$126,0)</f>
        <v>5852</v>
      </c>
      <c r="AA19" s="60" t="n">
        <f aca="false">IF(Assumptions!AA$98&gt;=$D$19,$C$19*Assumptions!AA$105*Assumptions!$F$126,0)</f>
        <v>5852</v>
      </c>
      <c r="AB19" s="60" t="n">
        <f aca="false">IF(Assumptions!AB$98&gt;=$D$19,$C$19*Assumptions!AB$105*Assumptions!$F$126,0)</f>
        <v>5852</v>
      </c>
    </row>
    <row r="20" customFormat="false" ht="15" hidden="false" customHeight="false" outlineLevel="0" collapsed="false">
      <c r="A20" s="28" t="s">
        <v>1099</v>
      </c>
      <c r="B20" s="58" t="s">
        <v>1100</v>
      </c>
      <c r="C20" s="59" t="n">
        <f aca="false">SUM(E20:P20)</f>
        <v>292800</v>
      </c>
      <c r="D20" s="59" t="n">
        <f aca="false">SUM(Q20:AB20)</f>
        <v>358644</v>
      </c>
      <c r="E20" s="71" t="n">
        <f aca="false">SUM(E14:E19)</f>
        <v>24400</v>
      </c>
      <c r="F20" s="71" t="n">
        <f aca="false">SUM(F14:F19)</f>
        <v>24400</v>
      </c>
      <c r="G20" s="71" t="n">
        <f aca="false">SUM(G14:G19)</f>
        <v>24400</v>
      </c>
      <c r="H20" s="71" t="n">
        <f aca="false">SUM(H14:H19)</f>
        <v>24400</v>
      </c>
      <c r="I20" s="71" t="n">
        <f aca="false">SUM(I14:I19)</f>
        <v>24400</v>
      </c>
      <c r="J20" s="71" t="n">
        <f aca="false">SUM(J14:J19)</f>
        <v>24400</v>
      </c>
      <c r="K20" s="71" t="n">
        <f aca="false">SUM(K14:K19)</f>
        <v>24400</v>
      </c>
      <c r="L20" s="71" t="n">
        <f aca="false">SUM(L14:L19)</f>
        <v>24400</v>
      </c>
      <c r="M20" s="71" t="n">
        <f aca="false">SUM(M14:M19)</f>
        <v>24400</v>
      </c>
      <c r="N20" s="71" t="n">
        <f aca="false">SUM(N14:N19)</f>
        <v>24400</v>
      </c>
      <c r="O20" s="71" t="n">
        <f aca="false">SUM(O14:O19)</f>
        <v>24400</v>
      </c>
      <c r="P20" s="71" t="n">
        <f aca="false">SUM(P14:P19)</f>
        <v>24400</v>
      </c>
      <c r="Q20" s="71" t="n">
        <f aca="false">SUM(Q14:Q19)</f>
        <v>25498</v>
      </c>
      <c r="R20" s="71" t="n">
        <f aca="false">SUM(R14:R19)</f>
        <v>25498</v>
      </c>
      <c r="S20" s="71" t="n">
        <f aca="false">SUM(S14:S19)</f>
        <v>25498</v>
      </c>
      <c r="T20" s="71" t="n">
        <f aca="false">SUM(T14:T19)</f>
        <v>31350</v>
      </c>
      <c r="U20" s="71" t="n">
        <f aca="false">SUM(U14:U19)</f>
        <v>31350</v>
      </c>
      <c r="V20" s="71" t="n">
        <f aca="false">SUM(V14:V19)</f>
        <v>31350</v>
      </c>
      <c r="W20" s="71" t="n">
        <f aca="false">SUM(W14:W19)</f>
        <v>31350</v>
      </c>
      <c r="X20" s="71" t="n">
        <f aca="false">SUM(X14:X19)</f>
        <v>31350</v>
      </c>
      <c r="Y20" s="71" t="n">
        <f aca="false">SUM(Y14:Y19)</f>
        <v>31350</v>
      </c>
      <c r="Z20" s="71" t="n">
        <f aca="false">SUM(Z14:Z19)</f>
        <v>31350</v>
      </c>
      <c r="AA20" s="71" t="n">
        <f aca="false">SUM(AA14:AA19)</f>
        <v>31350</v>
      </c>
      <c r="AB20" s="71" t="n">
        <f aca="false">SUM(AB14:AB19)</f>
        <v>31350</v>
      </c>
    </row>
    <row r="21" customFormat="false" ht="15" hidden="false" customHeight="false" outlineLevel="0" collapsed="false">
      <c r="A21" s="28" t="s">
        <v>1101</v>
      </c>
      <c r="B21" s="58" t="s">
        <v>1102</v>
      </c>
      <c r="C21" s="59" t="n">
        <f aca="false">SUM(E21:P21)</f>
        <v>292667</v>
      </c>
      <c r="D21" s="59" t="n">
        <f aca="false">SUM(Q21:AB21)</f>
        <v>358644</v>
      </c>
      <c r="E21" s="60" t="n">
        <f aca="false">IF(E$5="A",Inputs_Actuals!E153,E20)</f>
        <v>24576</v>
      </c>
      <c r="F21" s="60" t="n">
        <f aca="false">IF(F$5="A",Inputs_Actuals!F153,F20)</f>
        <v>24425</v>
      </c>
      <c r="G21" s="60" t="n">
        <f aca="false">IF(G$5="A",Inputs_Actuals!G153,G20)</f>
        <v>24105</v>
      </c>
      <c r="H21" s="60" t="n">
        <f aca="false">IF(H$5="A",Inputs_Actuals!H153,H20)</f>
        <v>24554</v>
      </c>
      <c r="I21" s="60" t="n">
        <f aca="false">IF(I$5="A",Inputs_Actuals!I153,I20)</f>
        <v>24215</v>
      </c>
      <c r="J21" s="60" t="n">
        <f aca="false">IF(J$5="A",Inputs_Actuals!J153,J20)</f>
        <v>24402</v>
      </c>
      <c r="K21" s="60" t="n">
        <f aca="false">IF(K$5="A",Inputs_Actuals!K153,K20)</f>
        <v>24337</v>
      </c>
      <c r="L21" s="60" t="n">
        <f aca="false">IF(L$5="A",Inputs_Actuals!L153,L20)</f>
        <v>24453</v>
      </c>
      <c r="M21" s="60" t="n">
        <f aca="false">IF(M$5="A",Inputs_Actuals!M153,M20)</f>
        <v>24400</v>
      </c>
      <c r="N21" s="60" t="n">
        <f aca="false">IF(N$5="A",Inputs_Actuals!N153,N20)</f>
        <v>24400</v>
      </c>
      <c r="O21" s="60" t="n">
        <f aca="false">IF(O$5="A",Inputs_Actuals!O153,O20)</f>
        <v>24400</v>
      </c>
      <c r="P21" s="60" t="n">
        <f aca="false">IF(P$5="A",Inputs_Actuals!P153,P20)</f>
        <v>24400</v>
      </c>
      <c r="Q21" s="60" t="n">
        <f aca="false">IF(Q$5="A",Inputs_Actuals!Q153,Q20)</f>
        <v>25498</v>
      </c>
      <c r="R21" s="60" t="n">
        <f aca="false">IF(R$5="A",Inputs_Actuals!R153,R20)</f>
        <v>25498</v>
      </c>
      <c r="S21" s="60" t="n">
        <f aca="false">IF(S$5="A",Inputs_Actuals!S153,S20)</f>
        <v>25498</v>
      </c>
      <c r="T21" s="60" t="n">
        <f aca="false">IF(T$5="A",Inputs_Actuals!T153,T20)</f>
        <v>31350</v>
      </c>
      <c r="U21" s="60" t="n">
        <f aca="false">IF(U$5="A",Inputs_Actuals!U153,U20)</f>
        <v>31350</v>
      </c>
      <c r="V21" s="60" t="n">
        <f aca="false">IF(V$5="A",Inputs_Actuals!V153,V20)</f>
        <v>31350</v>
      </c>
      <c r="W21" s="60" t="n">
        <f aca="false">IF(W$5="A",Inputs_Actuals!W153,W20)</f>
        <v>31350</v>
      </c>
      <c r="X21" s="60" t="n">
        <f aca="false">IF(X$5="A",Inputs_Actuals!X153,X20)</f>
        <v>31350</v>
      </c>
      <c r="Y21" s="60" t="n">
        <f aca="false">IF(Y$5="A",Inputs_Actuals!Y153,Y20)</f>
        <v>31350</v>
      </c>
      <c r="Z21" s="60" t="n">
        <f aca="false">IF(Z$5="A",Inputs_Actuals!Z153,Z20)</f>
        <v>31350</v>
      </c>
      <c r="AA21" s="60" t="n">
        <f aca="false">IF(AA$5="A",Inputs_Actuals!AA153,AA20)</f>
        <v>31350</v>
      </c>
      <c r="AB21" s="60" t="n">
        <f aca="false">IF(AB$5="A",Inputs_Actuals!AB153,AB20)</f>
        <v>31350</v>
      </c>
    </row>
    <row r="22" customFormat="false" ht="15" hidden="false" customHeight="false" outlineLevel="0" collapsed="false">
      <c r="A22" s="28" t="s">
        <v>1089</v>
      </c>
      <c r="B22" s="58"/>
      <c r="C22" s="59" t="n">
        <f aca="false">SUM(E22:P22)</f>
        <v>98921.446</v>
      </c>
      <c r="D22" s="59" t="n">
        <f aca="false">SUM(Q22:AB22)</f>
        <v>121221.672</v>
      </c>
      <c r="E22" s="60" t="n">
        <f aca="false">E21*(Assumptions!$C$20+Assumptions!$C$21)</f>
        <v>8306.688</v>
      </c>
      <c r="F22" s="60" t="n">
        <f aca="false">F21*(Assumptions!$C$20+Assumptions!$C$21)</f>
        <v>8255.65</v>
      </c>
      <c r="G22" s="60" t="n">
        <f aca="false">G21*(Assumptions!$C$20+Assumptions!$C$21)</f>
        <v>8147.49</v>
      </c>
      <c r="H22" s="60" t="n">
        <f aca="false">H21*(Assumptions!$C$20+Assumptions!$C$21)</f>
        <v>8299.252</v>
      </c>
      <c r="I22" s="60" t="n">
        <f aca="false">I21*(Assumptions!$C$20+Assumptions!$C$21)</f>
        <v>8184.67</v>
      </c>
      <c r="J22" s="60" t="n">
        <f aca="false">J21*(Assumptions!$C$20+Assumptions!$C$21)</f>
        <v>8247.876</v>
      </c>
      <c r="K22" s="60" t="n">
        <f aca="false">K21*(Assumptions!$C$20+Assumptions!$C$21)</f>
        <v>8225.906</v>
      </c>
      <c r="L22" s="60" t="n">
        <f aca="false">L21*(Assumptions!$C$20+Assumptions!$C$21)</f>
        <v>8265.114</v>
      </c>
      <c r="M22" s="60" t="n">
        <f aca="false">M21*(Assumptions!$C$20+Assumptions!$C$21)</f>
        <v>8247.2</v>
      </c>
      <c r="N22" s="60" t="n">
        <f aca="false">N21*(Assumptions!$C$20+Assumptions!$C$21)</f>
        <v>8247.2</v>
      </c>
      <c r="O22" s="60" t="n">
        <f aca="false">O21*(Assumptions!$C$20+Assumptions!$C$21)</f>
        <v>8247.2</v>
      </c>
      <c r="P22" s="60" t="n">
        <f aca="false">P21*(Assumptions!$C$20+Assumptions!$C$21)</f>
        <v>8247.2</v>
      </c>
      <c r="Q22" s="60" t="n">
        <f aca="false">Q21*(Assumptions!$C$20+Assumptions!$C$21)</f>
        <v>8618.324</v>
      </c>
      <c r="R22" s="60" t="n">
        <f aca="false">R21*(Assumptions!$C$20+Assumptions!$C$21)</f>
        <v>8618.324</v>
      </c>
      <c r="S22" s="60" t="n">
        <f aca="false">S21*(Assumptions!$C$20+Assumptions!$C$21)</f>
        <v>8618.324</v>
      </c>
      <c r="T22" s="60" t="n">
        <f aca="false">T21*(Assumptions!$C$20+Assumptions!$C$21)</f>
        <v>10596.3</v>
      </c>
      <c r="U22" s="60" t="n">
        <f aca="false">U21*(Assumptions!$C$20+Assumptions!$C$21)</f>
        <v>10596.3</v>
      </c>
      <c r="V22" s="60" t="n">
        <f aca="false">V21*(Assumptions!$C$20+Assumptions!$C$21)</f>
        <v>10596.3</v>
      </c>
      <c r="W22" s="60" t="n">
        <f aca="false">W21*(Assumptions!$C$20+Assumptions!$C$21)</f>
        <v>10596.3</v>
      </c>
      <c r="X22" s="60" t="n">
        <f aca="false">X21*(Assumptions!$C$20+Assumptions!$C$21)</f>
        <v>10596.3</v>
      </c>
      <c r="Y22" s="60" t="n">
        <f aca="false">Y21*(Assumptions!$C$20+Assumptions!$C$21)</f>
        <v>10596.3</v>
      </c>
      <c r="Z22" s="60" t="n">
        <f aca="false">Z21*(Assumptions!$C$20+Assumptions!$C$21)</f>
        <v>10596.3</v>
      </c>
      <c r="AA22" s="60" t="n">
        <f aca="false">AA21*(Assumptions!$C$20+Assumptions!$C$21)</f>
        <v>10596.3</v>
      </c>
      <c r="AB22" s="60" t="n">
        <f aca="false">AB21*(Assumptions!$C$20+Assumptions!$C$21)</f>
        <v>10596.3</v>
      </c>
    </row>
    <row r="23" customFormat="false" ht="15" hidden="false" customHeight="false" outlineLevel="0" collapsed="false">
      <c r="A23" s="68" t="s">
        <v>1103</v>
      </c>
      <c r="B23" s="69"/>
      <c r="C23" s="70" t="n">
        <f aca="false">SUM(E23:P23)</f>
        <v>391588.446</v>
      </c>
      <c r="D23" s="70" t="n">
        <f aca="false">SUM(Q23:AB23)</f>
        <v>479865.672</v>
      </c>
      <c r="E23" s="70" t="n">
        <f aca="false">E21+E22</f>
        <v>32882.688</v>
      </c>
      <c r="F23" s="70" t="n">
        <f aca="false">F21+F22</f>
        <v>32680.65</v>
      </c>
      <c r="G23" s="70" t="n">
        <f aca="false">G21+G22</f>
        <v>32252.49</v>
      </c>
      <c r="H23" s="70" t="n">
        <f aca="false">H21+H22</f>
        <v>32853.252</v>
      </c>
      <c r="I23" s="70" t="n">
        <f aca="false">I21+I22</f>
        <v>32399.67</v>
      </c>
      <c r="J23" s="70" t="n">
        <f aca="false">J21+J22</f>
        <v>32649.876</v>
      </c>
      <c r="K23" s="70" t="n">
        <f aca="false">K21+K22</f>
        <v>32562.906</v>
      </c>
      <c r="L23" s="70" t="n">
        <f aca="false">L21+L22</f>
        <v>32718.114</v>
      </c>
      <c r="M23" s="70" t="n">
        <f aca="false">M21+M22</f>
        <v>32647.2</v>
      </c>
      <c r="N23" s="70" t="n">
        <f aca="false">N21+N22</f>
        <v>32647.2</v>
      </c>
      <c r="O23" s="70" t="n">
        <f aca="false">O21+O22</f>
        <v>32647.2</v>
      </c>
      <c r="P23" s="70" t="n">
        <f aca="false">P21+P22</f>
        <v>32647.2</v>
      </c>
      <c r="Q23" s="70" t="n">
        <f aca="false">Q21+Q22</f>
        <v>34116.324</v>
      </c>
      <c r="R23" s="70" t="n">
        <f aca="false">R21+R22</f>
        <v>34116.324</v>
      </c>
      <c r="S23" s="70" t="n">
        <f aca="false">S21+S22</f>
        <v>34116.324</v>
      </c>
      <c r="T23" s="70" t="n">
        <f aca="false">T21+T22</f>
        <v>41946.3</v>
      </c>
      <c r="U23" s="70" t="n">
        <f aca="false">U21+U22</f>
        <v>41946.3</v>
      </c>
      <c r="V23" s="70" t="n">
        <f aca="false">V21+V22</f>
        <v>41946.3</v>
      </c>
      <c r="W23" s="70" t="n">
        <f aca="false">W21+W22</f>
        <v>41946.3</v>
      </c>
      <c r="X23" s="70" t="n">
        <f aca="false">X21+X22</f>
        <v>41946.3</v>
      </c>
      <c r="Y23" s="70" t="n">
        <f aca="false">Y21+Y22</f>
        <v>41946.3</v>
      </c>
      <c r="Z23" s="70" t="n">
        <f aca="false">Z21+Z22</f>
        <v>41946.3</v>
      </c>
      <c r="AA23" s="70" t="n">
        <f aca="false">AA21+AA22</f>
        <v>41946.3</v>
      </c>
      <c r="AB23" s="70" t="n">
        <f aca="false">AB21+AB22</f>
        <v>41946.3</v>
      </c>
    </row>
    <row r="24" customFormat="false" ht="15" hidden="false" customHeight="false" outlineLevel="0" collapsed="false">
      <c r="A24" s="28" t="s">
        <v>1104</v>
      </c>
      <c r="B24" s="58" t="s">
        <v>1105</v>
      </c>
      <c r="C24" s="66" t="n">
        <f aca="false">P24</f>
        <v>5</v>
      </c>
      <c r="D24" s="66" t="n">
        <f aca="false">AB24</f>
        <v>6</v>
      </c>
      <c r="E24" s="67" t="n">
        <f aca="false">IF(E$5="A",Inputs_Actuals!E154,IF(Assumptions!E$98&gt;=$D$14,1,0)+IF(Assumptions!E$98&gt;=$D$15,1,0)+IF(Assumptions!E$98&gt;=$D$16,1,0)+IF(Assumptions!E$98&gt;=$D$17,1,0)+IF(Assumptions!E$98&gt;=$D$18,1,0)+IF(Assumptions!E$98&gt;=$D$19,1,0)*Assumptions!$F$126)</f>
        <v>5</v>
      </c>
      <c r="F24" s="67" t="n">
        <f aca="false">IF(F$5="A",Inputs_Actuals!F154,IF(Assumptions!F$98&gt;=$D$14,1,0)+IF(Assumptions!F$98&gt;=$D$15,1,0)+IF(Assumptions!F$98&gt;=$D$16,1,0)+IF(Assumptions!F$98&gt;=$D$17,1,0)+IF(Assumptions!F$98&gt;=$D$18,1,0)+IF(Assumptions!F$98&gt;=$D$19,1,0)*Assumptions!$F$126)</f>
        <v>5</v>
      </c>
      <c r="G24" s="67" t="n">
        <f aca="false">IF(G$5="A",Inputs_Actuals!G154,IF(Assumptions!G$98&gt;=$D$14,1,0)+IF(Assumptions!G$98&gt;=$D$15,1,0)+IF(Assumptions!G$98&gt;=$D$16,1,0)+IF(Assumptions!G$98&gt;=$D$17,1,0)+IF(Assumptions!G$98&gt;=$D$18,1,0)+IF(Assumptions!G$98&gt;=$D$19,1,0)*Assumptions!$F$126)</f>
        <v>5</v>
      </c>
      <c r="H24" s="67" t="n">
        <f aca="false">IF(H$5="A",Inputs_Actuals!H154,IF(Assumptions!H$98&gt;=$D$14,1,0)+IF(Assumptions!H$98&gt;=$D$15,1,0)+IF(Assumptions!H$98&gt;=$D$16,1,0)+IF(Assumptions!H$98&gt;=$D$17,1,0)+IF(Assumptions!H$98&gt;=$D$18,1,0)+IF(Assumptions!H$98&gt;=$D$19,1,0)*Assumptions!$F$126)</f>
        <v>5</v>
      </c>
      <c r="I24" s="67" t="n">
        <f aca="false">IF(I$5="A",Inputs_Actuals!I154,IF(Assumptions!I$98&gt;=$D$14,1,0)+IF(Assumptions!I$98&gt;=$D$15,1,0)+IF(Assumptions!I$98&gt;=$D$16,1,0)+IF(Assumptions!I$98&gt;=$D$17,1,0)+IF(Assumptions!I$98&gt;=$D$18,1,0)+IF(Assumptions!I$98&gt;=$D$19,1,0)*Assumptions!$F$126)</f>
        <v>5</v>
      </c>
      <c r="J24" s="67" t="n">
        <f aca="false">IF(J$5="A",Inputs_Actuals!J154,IF(Assumptions!J$98&gt;=$D$14,1,0)+IF(Assumptions!J$98&gt;=$D$15,1,0)+IF(Assumptions!J$98&gt;=$D$16,1,0)+IF(Assumptions!J$98&gt;=$D$17,1,0)+IF(Assumptions!J$98&gt;=$D$18,1,0)+IF(Assumptions!J$98&gt;=$D$19,1,0)*Assumptions!$F$126)</f>
        <v>5</v>
      </c>
      <c r="K24" s="67" t="n">
        <f aca="false">IF(K$5="A",Inputs_Actuals!K154,IF(Assumptions!K$98&gt;=$D$14,1,0)+IF(Assumptions!K$98&gt;=$D$15,1,0)+IF(Assumptions!K$98&gt;=$D$16,1,0)+IF(Assumptions!K$98&gt;=$D$17,1,0)+IF(Assumptions!K$98&gt;=$D$18,1,0)+IF(Assumptions!K$98&gt;=$D$19,1,0)*Assumptions!$F$126)</f>
        <v>5</v>
      </c>
      <c r="L24" s="67" t="n">
        <f aca="false">IF(L$5="A",Inputs_Actuals!L154,IF(Assumptions!L$98&gt;=$D$14,1,0)+IF(Assumptions!L$98&gt;=$D$15,1,0)+IF(Assumptions!L$98&gt;=$D$16,1,0)+IF(Assumptions!L$98&gt;=$D$17,1,0)+IF(Assumptions!L$98&gt;=$D$18,1,0)+IF(Assumptions!L$98&gt;=$D$19,1,0)*Assumptions!$F$126)</f>
        <v>5</v>
      </c>
      <c r="M24" s="67" t="n">
        <f aca="false">IF(M$5="A",Inputs_Actuals!M154,IF(Assumptions!M$98&gt;=$D$14,1,0)+IF(Assumptions!M$98&gt;=$D$15,1,0)+IF(Assumptions!M$98&gt;=$D$16,1,0)+IF(Assumptions!M$98&gt;=$D$17,1,0)+IF(Assumptions!M$98&gt;=$D$18,1,0)+IF(Assumptions!M$98&gt;=$D$19,1,0)*Assumptions!$F$126)</f>
        <v>5</v>
      </c>
      <c r="N24" s="67" t="n">
        <f aca="false">IF(N$5="A",Inputs_Actuals!N154,IF(Assumptions!N$98&gt;=$D$14,1,0)+IF(Assumptions!N$98&gt;=$D$15,1,0)+IF(Assumptions!N$98&gt;=$D$16,1,0)+IF(Assumptions!N$98&gt;=$D$17,1,0)+IF(Assumptions!N$98&gt;=$D$18,1,0)+IF(Assumptions!N$98&gt;=$D$19,1,0)*Assumptions!$F$126)</f>
        <v>5</v>
      </c>
      <c r="O24" s="67" t="n">
        <f aca="false">IF(O$5="A",Inputs_Actuals!O154,IF(Assumptions!O$98&gt;=$D$14,1,0)+IF(Assumptions!O$98&gt;=$D$15,1,0)+IF(Assumptions!O$98&gt;=$D$16,1,0)+IF(Assumptions!O$98&gt;=$D$17,1,0)+IF(Assumptions!O$98&gt;=$D$18,1,0)+IF(Assumptions!O$98&gt;=$D$19,1,0)*Assumptions!$F$126)</f>
        <v>5</v>
      </c>
      <c r="P24" s="67" t="n">
        <f aca="false">IF(P$5="A",Inputs_Actuals!P154,IF(Assumptions!P$98&gt;=$D$14,1,0)+IF(Assumptions!P$98&gt;=$D$15,1,0)+IF(Assumptions!P$98&gt;=$D$16,1,0)+IF(Assumptions!P$98&gt;=$D$17,1,0)+IF(Assumptions!P$98&gt;=$D$18,1,0)+IF(Assumptions!P$98&gt;=$D$19,1,0)*Assumptions!$F$126)</f>
        <v>5</v>
      </c>
      <c r="Q24" s="67" t="n">
        <f aca="false">IF(Q$5="A",Inputs_Actuals!Q154,IF(Assumptions!Q$98&gt;=$D$14,1,0)+IF(Assumptions!Q$98&gt;=$D$15,1,0)+IF(Assumptions!Q$98&gt;=$D$16,1,0)+IF(Assumptions!Q$98&gt;=$D$17,1,0)+IF(Assumptions!Q$98&gt;=$D$18,1,0)+IF(Assumptions!Q$98&gt;=$D$19,1,0)*Assumptions!$F$126)</f>
        <v>5</v>
      </c>
      <c r="R24" s="67" t="n">
        <f aca="false">IF(R$5="A",Inputs_Actuals!R154,IF(Assumptions!R$98&gt;=$D$14,1,0)+IF(Assumptions!R$98&gt;=$D$15,1,0)+IF(Assumptions!R$98&gt;=$D$16,1,0)+IF(Assumptions!R$98&gt;=$D$17,1,0)+IF(Assumptions!R$98&gt;=$D$18,1,0)+IF(Assumptions!R$98&gt;=$D$19,1,0)*Assumptions!$F$126)</f>
        <v>5</v>
      </c>
      <c r="S24" s="67" t="n">
        <f aca="false">IF(S$5="A",Inputs_Actuals!S154,IF(Assumptions!S$98&gt;=$D$14,1,0)+IF(Assumptions!S$98&gt;=$D$15,1,0)+IF(Assumptions!S$98&gt;=$D$16,1,0)+IF(Assumptions!S$98&gt;=$D$17,1,0)+IF(Assumptions!S$98&gt;=$D$18,1,0)+IF(Assumptions!S$98&gt;=$D$19,1,0)*Assumptions!$F$126)</f>
        <v>5</v>
      </c>
      <c r="T24" s="67" t="n">
        <f aca="false">IF(T$5="A",Inputs_Actuals!T154,IF(Assumptions!T$98&gt;=$D$14,1,0)+IF(Assumptions!T$98&gt;=$D$15,1,0)+IF(Assumptions!T$98&gt;=$D$16,1,0)+IF(Assumptions!T$98&gt;=$D$17,1,0)+IF(Assumptions!T$98&gt;=$D$18,1,0)+IF(Assumptions!T$98&gt;=$D$19,1,0)*Assumptions!$F$126)</f>
        <v>6</v>
      </c>
      <c r="U24" s="67" t="n">
        <f aca="false">IF(U$5="A",Inputs_Actuals!U154,IF(Assumptions!U$98&gt;=$D$14,1,0)+IF(Assumptions!U$98&gt;=$D$15,1,0)+IF(Assumptions!U$98&gt;=$D$16,1,0)+IF(Assumptions!U$98&gt;=$D$17,1,0)+IF(Assumptions!U$98&gt;=$D$18,1,0)+IF(Assumptions!U$98&gt;=$D$19,1,0)*Assumptions!$F$126)</f>
        <v>6</v>
      </c>
      <c r="V24" s="67" t="n">
        <f aca="false">IF(V$5="A",Inputs_Actuals!V154,IF(Assumptions!V$98&gt;=$D$14,1,0)+IF(Assumptions!V$98&gt;=$D$15,1,0)+IF(Assumptions!V$98&gt;=$D$16,1,0)+IF(Assumptions!V$98&gt;=$D$17,1,0)+IF(Assumptions!V$98&gt;=$D$18,1,0)+IF(Assumptions!V$98&gt;=$D$19,1,0)*Assumptions!$F$126)</f>
        <v>6</v>
      </c>
      <c r="W24" s="67" t="n">
        <f aca="false">IF(W$5="A",Inputs_Actuals!W154,IF(Assumptions!W$98&gt;=$D$14,1,0)+IF(Assumptions!W$98&gt;=$D$15,1,0)+IF(Assumptions!W$98&gt;=$D$16,1,0)+IF(Assumptions!W$98&gt;=$D$17,1,0)+IF(Assumptions!W$98&gt;=$D$18,1,0)+IF(Assumptions!W$98&gt;=$D$19,1,0)*Assumptions!$F$126)</f>
        <v>6</v>
      </c>
      <c r="X24" s="67" t="n">
        <f aca="false">IF(X$5="A",Inputs_Actuals!X154,IF(Assumptions!X$98&gt;=$D$14,1,0)+IF(Assumptions!X$98&gt;=$D$15,1,0)+IF(Assumptions!X$98&gt;=$D$16,1,0)+IF(Assumptions!X$98&gt;=$D$17,1,0)+IF(Assumptions!X$98&gt;=$D$18,1,0)+IF(Assumptions!X$98&gt;=$D$19,1,0)*Assumptions!$F$126)</f>
        <v>6</v>
      </c>
      <c r="Y24" s="67" t="n">
        <f aca="false">IF(Y$5="A",Inputs_Actuals!Y154,IF(Assumptions!Y$98&gt;=$D$14,1,0)+IF(Assumptions!Y$98&gt;=$D$15,1,0)+IF(Assumptions!Y$98&gt;=$D$16,1,0)+IF(Assumptions!Y$98&gt;=$D$17,1,0)+IF(Assumptions!Y$98&gt;=$D$18,1,0)+IF(Assumptions!Y$98&gt;=$D$19,1,0)*Assumptions!$F$126)</f>
        <v>6</v>
      </c>
      <c r="Z24" s="67" t="n">
        <f aca="false">IF(Z$5="A",Inputs_Actuals!Z154,IF(Assumptions!Z$98&gt;=$D$14,1,0)+IF(Assumptions!Z$98&gt;=$D$15,1,0)+IF(Assumptions!Z$98&gt;=$D$16,1,0)+IF(Assumptions!Z$98&gt;=$D$17,1,0)+IF(Assumptions!Z$98&gt;=$D$18,1,0)+IF(Assumptions!Z$98&gt;=$D$19,1,0)*Assumptions!$F$126)</f>
        <v>6</v>
      </c>
      <c r="AA24" s="67" t="n">
        <f aca="false">IF(AA$5="A",Inputs_Actuals!AA154,IF(Assumptions!AA$98&gt;=$D$14,1,0)+IF(Assumptions!AA$98&gt;=$D$15,1,0)+IF(Assumptions!AA$98&gt;=$D$16,1,0)+IF(Assumptions!AA$98&gt;=$D$17,1,0)+IF(Assumptions!AA$98&gt;=$D$18,1,0)+IF(Assumptions!AA$98&gt;=$D$19,1,0)*Assumptions!$F$126)</f>
        <v>6</v>
      </c>
      <c r="AB24" s="67" t="n">
        <f aca="false">IF(AB$5="A",Inputs_Actuals!AB154,IF(Assumptions!AB$98&gt;=$D$14,1,0)+IF(Assumptions!AB$98&gt;=$D$15,1,0)+IF(Assumptions!AB$98&gt;=$D$16,1,0)+IF(Assumptions!AB$98&gt;=$D$17,1,0)+IF(Assumptions!AB$98&gt;=$D$18,1,0)+IF(Assumptions!AB$98&gt;=$D$19,1,0)*Assumptions!$F$126)</f>
        <v>6</v>
      </c>
    </row>
    <row r="25" customFormat="false" ht="15" hidden="false" customHeight="false" outlineLevel="0" collapsed="false">
      <c r="A25" s="28" t="s">
        <v>1106</v>
      </c>
      <c r="B25" s="58"/>
      <c r="C25" s="66" t="n">
        <f aca="false">SUM(E25:P25)</f>
        <v>0</v>
      </c>
      <c r="D25" s="66" t="n">
        <f aca="false">SUM(Q25:AB25)</f>
        <v>1</v>
      </c>
      <c r="E25" s="72" t="n">
        <f aca="false">0</f>
        <v>0</v>
      </c>
      <c r="F25" s="72" t="n">
        <f aca="false">0</f>
        <v>0</v>
      </c>
      <c r="G25" s="72" t="n">
        <f aca="false">0</f>
        <v>0</v>
      </c>
      <c r="H25" s="72" t="n">
        <f aca="false">0</f>
        <v>0</v>
      </c>
      <c r="I25" s="72" t="n">
        <f aca="false">0</f>
        <v>0</v>
      </c>
      <c r="J25" s="72" t="n">
        <f aca="false">0</f>
        <v>0</v>
      </c>
      <c r="K25" s="72" t="n">
        <f aca="false">0</f>
        <v>0</v>
      </c>
      <c r="L25" s="72" t="n">
        <f aca="false">0</f>
        <v>0</v>
      </c>
      <c r="M25" s="67" t="n">
        <f aca="false">IF(Assumptions!M$98=$D$19,1,0)*Assumptions!$F$126</f>
        <v>0</v>
      </c>
      <c r="N25" s="67" t="n">
        <f aca="false">IF(Assumptions!N$98=$D$19,1,0)*Assumptions!$F$126</f>
        <v>0</v>
      </c>
      <c r="O25" s="67" t="n">
        <f aca="false">IF(Assumptions!O$98=$D$19,1,0)*Assumptions!$F$126</f>
        <v>0</v>
      </c>
      <c r="P25" s="67" t="n">
        <f aca="false">IF(Assumptions!P$98=$D$19,1,0)*Assumptions!$F$126</f>
        <v>0</v>
      </c>
      <c r="Q25" s="67" t="n">
        <f aca="false">IF(Assumptions!Q$98=$D$19,1,0)*Assumptions!$F$126</f>
        <v>0</v>
      </c>
      <c r="R25" s="67" t="n">
        <f aca="false">IF(Assumptions!R$98=$D$19,1,0)*Assumptions!$F$126</f>
        <v>0</v>
      </c>
      <c r="S25" s="67" t="n">
        <f aca="false">IF(Assumptions!S$98=$D$19,1,0)*Assumptions!$F$126</f>
        <v>0</v>
      </c>
      <c r="T25" s="67" t="n">
        <f aca="false">IF(Assumptions!T$98=$D$19,1,0)*Assumptions!$F$126</f>
        <v>1</v>
      </c>
      <c r="U25" s="67" t="n">
        <f aca="false">IF(Assumptions!U$98=$D$19,1,0)*Assumptions!$F$126</f>
        <v>0</v>
      </c>
      <c r="V25" s="67" t="n">
        <f aca="false">IF(Assumptions!V$98=$D$19,1,0)*Assumptions!$F$126</f>
        <v>0</v>
      </c>
      <c r="W25" s="67" t="n">
        <f aca="false">IF(Assumptions!W$98=$D$19,1,0)*Assumptions!$F$126</f>
        <v>0</v>
      </c>
      <c r="X25" s="67" t="n">
        <f aca="false">IF(Assumptions!X$98=$D$19,1,0)*Assumptions!$F$126</f>
        <v>0</v>
      </c>
      <c r="Y25" s="67" t="n">
        <f aca="false">IF(Assumptions!Y$98=$D$19,1,0)*Assumptions!$F$126</f>
        <v>0</v>
      </c>
      <c r="Z25" s="67" t="n">
        <f aca="false">IF(Assumptions!Z$98=$D$19,1,0)*Assumptions!$F$126</f>
        <v>0</v>
      </c>
      <c r="AA25" s="67" t="n">
        <f aca="false">IF(Assumptions!AA$98=$D$19,1,0)*Assumptions!$F$126</f>
        <v>0</v>
      </c>
      <c r="AB25" s="67" t="n">
        <f aca="false">IF(Assumptions!AB$98=$D$19,1,0)*Assumptions!$F$126</f>
        <v>0</v>
      </c>
    </row>
    <row r="26" customFormat="false" ht="15" hidden="false" customHeight="false" outlineLevel="0" collapsed="false">
      <c r="A26" s="22" t="s">
        <v>1107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row>
    <row r="27" customFormat="false" ht="15" hidden="false" customHeight="false" outlineLevel="0" collapsed="false">
      <c r="A27" s="28" t="s">
        <v>1108</v>
      </c>
      <c r="B27" s="58" t="s">
        <v>55</v>
      </c>
      <c r="C27" s="66" t="n">
        <f aca="false">P27</f>
        <v>35</v>
      </c>
      <c r="D27" s="66" t="n">
        <f aca="false">AB27</f>
        <v>35.85</v>
      </c>
      <c r="E27" s="67" t="n">
        <f aca="false">Utilisation!E73</f>
        <v>33</v>
      </c>
      <c r="F27" s="67" t="n">
        <f aca="false">Utilisation!F73</f>
        <v>33</v>
      </c>
      <c r="G27" s="67" t="n">
        <f aca="false">Utilisation!G73</f>
        <v>33</v>
      </c>
      <c r="H27" s="67" t="n">
        <f aca="false">Utilisation!H73</f>
        <v>34</v>
      </c>
      <c r="I27" s="67" t="n">
        <f aca="false">Utilisation!I73</f>
        <v>32</v>
      </c>
      <c r="J27" s="67" t="n">
        <f aca="false">Utilisation!J73</f>
        <v>32</v>
      </c>
      <c r="K27" s="67" t="n">
        <f aca="false">Utilisation!K73</f>
        <v>33</v>
      </c>
      <c r="L27" s="67" t="n">
        <f aca="false">Utilisation!L73</f>
        <v>33</v>
      </c>
      <c r="M27" s="67" t="n">
        <f aca="false">Utilisation!M73</f>
        <v>33</v>
      </c>
      <c r="N27" s="67" t="n">
        <f aca="false">Utilisation!N73</f>
        <v>34</v>
      </c>
      <c r="O27" s="67" t="n">
        <f aca="false">Utilisation!O73</f>
        <v>35</v>
      </c>
      <c r="P27" s="67" t="n">
        <f aca="false">Utilisation!P73</f>
        <v>35</v>
      </c>
      <c r="Q27" s="67" t="n">
        <f aca="false">Utilisation!Q73</f>
        <v>35.45</v>
      </c>
      <c r="R27" s="67" t="n">
        <f aca="false">Utilisation!R73</f>
        <v>35.45</v>
      </c>
      <c r="S27" s="67" t="n">
        <f aca="false">Utilisation!S73</f>
        <v>35.85</v>
      </c>
      <c r="T27" s="67" t="n">
        <f aca="false">Utilisation!T73</f>
        <v>35.85</v>
      </c>
      <c r="U27" s="67" t="n">
        <f aca="false">Utilisation!U73</f>
        <v>35.85</v>
      </c>
      <c r="V27" s="67" t="n">
        <f aca="false">Utilisation!V73</f>
        <v>35.85</v>
      </c>
      <c r="W27" s="67" t="n">
        <f aca="false">Utilisation!W73</f>
        <v>35.85</v>
      </c>
      <c r="X27" s="67" t="n">
        <f aca="false">Utilisation!X73</f>
        <v>35.85</v>
      </c>
      <c r="Y27" s="67" t="n">
        <f aca="false">Utilisation!Y73</f>
        <v>35.85</v>
      </c>
      <c r="Z27" s="67" t="n">
        <f aca="false">Utilisation!Z73</f>
        <v>35.85</v>
      </c>
      <c r="AA27" s="67" t="n">
        <f aca="false">Utilisation!AA73</f>
        <v>35.85</v>
      </c>
      <c r="AB27" s="67" t="n">
        <f aca="false">Utilisation!AB73</f>
        <v>35.85</v>
      </c>
    </row>
    <row r="28" customFormat="false" ht="15" hidden="false" customHeight="false" outlineLevel="0" collapsed="false">
      <c r="A28" s="68" t="s">
        <v>1109</v>
      </c>
      <c r="B28" s="69"/>
      <c r="C28" s="114" t="n">
        <f aca="false">P28</f>
        <v>40</v>
      </c>
      <c r="D28" s="114" t="n">
        <f aca="false">AB28</f>
        <v>41.85</v>
      </c>
      <c r="E28" s="114" t="n">
        <f aca="false">E27+E24</f>
        <v>38</v>
      </c>
      <c r="F28" s="114" t="n">
        <f aca="false">F27+F24</f>
        <v>38</v>
      </c>
      <c r="G28" s="114" t="n">
        <f aca="false">G27+G24</f>
        <v>38</v>
      </c>
      <c r="H28" s="114" t="n">
        <f aca="false">H27+H24</f>
        <v>39</v>
      </c>
      <c r="I28" s="114" t="n">
        <f aca="false">I27+I24</f>
        <v>37</v>
      </c>
      <c r="J28" s="114" t="n">
        <f aca="false">J27+J24</f>
        <v>37</v>
      </c>
      <c r="K28" s="114" t="n">
        <f aca="false">K27+K24</f>
        <v>38</v>
      </c>
      <c r="L28" s="114" t="n">
        <f aca="false">L27+L24</f>
        <v>38</v>
      </c>
      <c r="M28" s="114" t="n">
        <f aca="false">M27+M24</f>
        <v>38</v>
      </c>
      <c r="N28" s="114" t="n">
        <f aca="false">N27+N24</f>
        <v>39</v>
      </c>
      <c r="O28" s="114" t="n">
        <f aca="false">O27+O24</f>
        <v>40</v>
      </c>
      <c r="P28" s="114" t="n">
        <f aca="false">P27+P24</f>
        <v>40</v>
      </c>
      <c r="Q28" s="114" t="n">
        <f aca="false">Q27+Q24</f>
        <v>40.45</v>
      </c>
      <c r="R28" s="114" t="n">
        <f aca="false">R27+R24</f>
        <v>40.45</v>
      </c>
      <c r="S28" s="114" t="n">
        <f aca="false">S27+S24</f>
        <v>40.85</v>
      </c>
      <c r="T28" s="114" t="n">
        <f aca="false">T27+T24</f>
        <v>41.85</v>
      </c>
      <c r="U28" s="114" t="n">
        <f aca="false">U27+U24</f>
        <v>41.85</v>
      </c>
      <c r="V28" s="114" t="n">
        <f aca="false">V27+V24</f>
        <v>41.85</v>
      </c>
      <c r="W28" s="114" t="n">
        <f aca="false">W27+W24</f>
        <v>41.85</v>
      </c>
      <c r="X28" s="114" t="n">
        <f aca="false">X27+X24</f>
        <v>41.85</v>
      </c>
      <c r="Y28" s="114" t="n">
        <f aca="false">Y27+Y24</f>
        <v>41.85</v>
      </c>
      <c r="Z28" s="114" t="n">
        <f aca="false">Z27+Z24</f>
        <v>41.85</v>
      </c>
      <c r="AA28" s="114" t="n">
        <f aca="false">AA27+AA24</f>
        <v>41.85</v>
      </c>
      <c r="AB28" s="114" t="n">
        <f aca="false">AB27+AB24</f>
        <v>41.85</v>
      </c>
    </row>
    <row r="29" customFormat="false" ht="15" hidden="false" customHeight="false" outlineLevel="0" collapsed="false">
      <c r="A29" s="22" t="s">
        <v>1110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customFormat="false" ht="15" hidden="false" customHeight="false" outlineLevel="0" collapsed="false">
      <c r="A30" s="28" t="s">
        <v>1111</v>
      </c>
      <c r="B30" s="58" t="s">
        <v>1112</v>
      </c>
      <c r="C30" s="61" t="n">
        <f aca="false">AVERAGE(E30:P30)</f>
        <v>0.05</v>
      </c>
      <c r="D30" s="61" t="n">
        <f aca="false">AVERAGE(Q30:AB30)</f>
        <v>0.05</v>
      </c>
      <c r="E30" s="63" t="n">
        <f aca="false">IF(E$5="A",Assumptions!$C$61,Assumptions!$F$127)</f>
        <v>0.05</v>
      </c>
      <c r="F30" s="63" t="n">
        <f aca="false">IF(F$5="A",Assumptions!$C$61,Assumptions!$F$127)</f>
        <v>0.05</v>
      </c>
      <c r="G30" s="63" t="n">
        <f aca="false">IF(G$5="A",Assumptions!$C$61,Assumptions!$F$127)</f>
        <v>0.05</v>
      </c>
      <c r="H30" s="63" t="n">
        <f aca="false">IF(H$5="A",Assumptions!$C$61,Assumptions!$F$127)</f>
        <v>0.05</v>
      </c>
      <c r="I30" s="63" t="n">
        <f aca="false">IF(I$5="A",Assumptions!$C$61,Assumptions!$F$127)</f>
        <v>0.05</v>
      </c>
      <c r="J30" s="63" t="n">
        <f aca="false">IF(J$5="A",Assumptions!$C$61,Assumptions!$F$127)</f>
        <v>0.05</v>
      </c>
      <c r="K30" s="63" t="n">
        <f aca="false">IF(K$5="A",Assumptions!$C$61,Assumptions!$F$127)</f>
        <v>0.05</v>
      </c>
      <c r="L30" s="63" t="n">
        <f aca="false">IF(L$5="A",Assumptions!$C$61,Assumptions!$F$127)</f>
        <v>0.05</v>
      </c>
      <c r="M30" s="63" t="n">
        <f aca="false">IF(M$5="A",Assumptions!$C$61,Assumptions!$F$127)</f>
        <v>0.05</v>
      </c>
      <c r="N30" s="63" t="n">
        <f aca="false">IF(N$5="A",Assumptions!$C$61,Assumptions!$F$127)</f>
        <v>0.05</v>
      </c>
      <c r="O30" s="63" t="n">
        <f aca="false">IF(O$5="A",Assumptions!$C$61,Assumptions!$F$127)</f>
        <v>0.05</v>
      </c>
      <c r="P30" s="63" t="n">
        <f aca="false">IF(P$5="A",Assumptions!$C$61,Assumptions!$F$127)</f>
        <v>0.05</v>
      </c>
      <c r="Q30" s="63" t="n">
        <f aca="false">IF(Q$5="A",Assumptions!$C$61,Assumptions!$F$127)</f>
        <v>0.05</v>
      </c>
      <c r="R30" s="63" t="n">
        <f aca="false">IF(R$5="A",Assumptions!$C$61,Assumptions!$F$127)</f>
        <v>0.05</v>
      </c>
      <c r="S30" s="63" t="n">
        <f aca="false">IF(S$5="A",Assumptions!$C$61,Assumptions!$F$127)</f>
        <v>0.05</v>
      </c>
      <c r="T30" s="63" t="n">
        <f aca="false">IF(T$5="A",Assumptions!$C$61,Assumptions!$F$127)</f>
        <v>0.05</v>
      </c>
      <c r="U30" s="63" t="n">
        <f aca="false">IF(U$5="A",Assumptions!$C$61,Assumptions!$F$127)</f>
        <v>0.05</v>
      </c>
      <c r="V30" s="63" t="n">
        <f aca="false">IF(V$5="A",Assumptions!$C$61,Assumptions!$F$127)</f>
        <v>0.05</v>
      </c>
      <c r="W30" s="63" t="n">
        <f aca="false">IF(W$5="A",Assumptions!$C$61,Assumptions!$F$127)</f>
        <v>0.05</v>
      </c>
      <c r="X30" s="63" t="n">
        <f aca="false">IF(X$5="A",Assumptions!$C$61,Assumptions!$F$127)</f>
        <v>0.05</v>
      </c>
      <c r="Y30" s="63" t="n">
        <f aca="false">IF(Y$5="A",Assumptions!$C$61,Assumptions!$F$127)</f>
        <v>0.05</v>
      </c>
      <c r="Z30" s="63" t="n">
        <f aca="false">IF(Z$5="A",Assumptions!$C$61,Assumptions!$F$127)</f>
        <v>0.05</v>
      </c>
      <c r="AA30" s="63" t="n">
        <f aca="false">IF(AA$5="A",Assumptions!$C$61,Assumptions!$F$127)</f>
        <v>0.05</v>
      </c>
      <c r="AB30" s="63" t="n">
        <f aca="false">IF(AB$5="A",Assumptions!$C$61,Assumptions!$F$127)</f>
        <v>0.05</v>
      </c>
    </row>
    <row r="31" customFormat="false" ht="15" hidden="false" customHeight="false" outlineLevel="0" collapsed="false">
      <c r="A31" s="28" t="s">
        <v>1113</v>
      </c>
      <c r="B31" s="58" t="s">
        <v>1114</v>
      </c>
      <c r="C31" s="59" t="n">
        <f aca="false">SUM(E31:P31)</f>
        <v>129583.6944</v>
      </c>
      <c r="D31" s="59" t="n">
        <f aca="false">SUM(Q31:AB31)</f>
        <v>147990.74103</v>
      </c>
      <c r="E31" s="60" t="n">
        <f aca="false">(E10+E21)*E30*(1+Assumptions!$C$20+Assumptions!$C$21)</f>
        <v>10550.13</v>
      </c>
      <c r="F31" s="60" t="n">
        <f aca="false">(F10+F21)*F30*(1+Assumptions!$C$20+Assumptions!$C$21)</f>
        <v>10502.0958</v>
      </c>
      <c r="G31" s="60" t="n">
        <f aca="false">(G10+G21)*G30*(1+Assumptions!$C$20+Assumptions!$C$21)</f>
        <v>10630.0755</v>
      </c>
      <c r="H31" s="60" t="n">
        <f aca="false">(H10+H21)*H30*(1+Assumptions!$C$20+Assumptions!$C$21)</f>
        <v>10964.0403</v>
      </c>
      <c r="I31" s="60" t="n">
        <f aca="false">(I10+I21)*I30*(1+Assumptions!$C$20+Assumptions!$C$21)</f>
        <v>10504.5711</v>
      </c>
      <c r="J31" s="60" t="n">
        <f aca="false">(J10+J21)*J30*(1+Assumptions!$C$20+Assumptions!$C$21)</f>
        <v>10496.8776</v>
      </c>
      <c r="K31" s="60" t="n">
        <f aca="false">(K10+K21)*K30*(1+Assumptions!$C$20+Assumptions!$C$21)</f>
        <v>10778.5935</v>
      </c>
      <c r="L31" s="60" t="n">
        <f aca="false">(L10+L21)*L30*(1+Assumptions!$C$20+Assumptions!$C$21)</f>
        <v>10836.0606</v>
      </c>
      <c r="M31" s="60" t="n">
        <f aca="false">(M10+M21)*M30*(1+Assumptions!$C$20+Assumptions!$C$21)</f>
        <v>10710.69</v>
      </c>
      <c r="N31" s="60" t="n">
        <f aca="false">(N10+N21)*N30*(1+Assumptions!$C$20+Assumptions!$C$21)</f>
        <v>11038.5</v>
      </c>
      <c r="O31" s="60" t="n">
        <f aca="false">(O10+O21)*O30*(1+Assumptions!$C$20+Assumptions!$C$21)</f>
        <v>11286.03</v>
      </c>
      <c r="P31" s="60" t="n">
        <f aca="false">(P10+P21)*P30*(1+Assumptions!$C$20+Assumptions!$C$21)</f>
        <v>11286.03</v>
      </c>
      <c r="Q31" s="60" t="n">
        <f aca="false">(Q10+Q21)*Q30*(1+Assumptions!$C$20+Assumptions!$C$21)</f>
        <v>11948.0540025</v>
      </c>
      <c r="R31" s="60" t="n">
        <f aca="false">(R10+R21)*R30*(1+Assumptions!$C$20+Assumptions!$C$21)</f>
        <v>11948.0540025</v>
      </c>
      <c r="S31" s="60" t="n">
        <f aca="false">(S10+S21)*S30*(1+Assumptions!$C$20+Assumptions!$C$21)</f>
        <v>12057.1143825</v>
      </c>
      <c r="T31" s="60" t="n">
        <f aca="false">(T10+T21)*T30*(1+Assumptions!$C$20+Assumptions!$C$21)</f>
        <v>12448.6131825</v>
      </c>
      <c r="U31" s="60" t="n">
        <f aca="false">(U10+U21)*U30*(1+Assumptions!$C$20+Assumptions!$C$21)</f>
        <v>12448.6131825</v>
      </c>
      <c r="V31" s="60" t="n">
        <f aca="false">(V10+V21)*V30*(1+Assumptions!$C$20+Assumptions!$C$21)</f>
        <v>12448.6131825</v>
      </c>
      <c r="W31" s="60" t="n">
        <f aca="false">(W10+W21)*W30*(1+Assumptions!$C$20+Assumptions!$C$21)</f>
        <v>12448.6131825</v>
      </c>
      <c r="X31" s="60" t="n">
        <f aca="false">(X10+X21)*X30*(1+Assumptions!$C$20+Assumptions!$C$21)</f>
        <v>12448.6131825</v>
      </c>
      <c r="Y31" s="60" t="n">
        <f aca="false">(Y10+Y21)*Y30*(1+Assumptions!$C$20+Assumptions!$C$21)</f>
        <v>12448.6131825</v>
      </c>
      <c r="Z31" s="60" t="n">
        <f aca="false">(Z10+Z21)*Z30*(1+Assumptions!$C$20+Assumptions!$C$21)</f>
        <v>12448.6131825</v>
      </c>
      <c r="AA31" s="60" t="n">
        <f aca="false">(AA10+AA21)*AA30*(1+Assumptions!$C$20+Assumptions!$C$21)</f>
        <v>12448.6131825</v>
      </c>
      <c r="AB31" s="60" t="n">
        <f aca="false">(AB10+AB21)*AB30*(1+Assumptions!$C$20+Assumptions!$C$21)</f>
        <v>12448.6131825</v>
      </c>
    </row>
    <row r="32" customFormat="false" ht="15" hidden="false" customHeight="false" outlineLevel="0" collapsed="false">
      <c r="A32" s="28" t="s">
        <v>1115</v>
      </c>
      <c r="B32" s="58" t="s">
        <v>1116</v>
      </c>
      <c r="C32" s="59" t="n">
        <f aca="false">SUM(E32:P32)</f>
        <v>131500</v>
      </c>
      <c r="D32" s="59" t="n">
        <f aca="false">SUM(Q32:AB32)</f>
        <v>129583.6944</v>
      </c>
      <c r="E32" s="60" t="n">
        <f aca="false">IF(E$5="A",Inputs_Actuals!E155,0)</f>
        <v>0</v>
      </c>
      <c r="F32" s="60" t="n">
        <f aca="false">IF(F$5="A",Inputs_Actuals!F155,0)</f>
        <v>0</v>
      </c>
      <c r="G32" s="60" t="n">
        <f aca="false">IF(G$5="A",Inputs_Actuals!G155,0)</f>
        <v>131500</v>
      </c>
      <c r="H32" s="60" t="n">
        <f aca="false">IF(H$5="A",Inputs_Actuals!H155,0)</f>
        <v>0</v>
      </c>
      <c r="I32" s="60" t="n">
        <f aca="false">IF(I$5="A",Inputs_Actuals!I155,0)</f>
        <v>0</v>
      </c>
      <c r="J32" s="60" t="n">
        <f aca="false">IF(J$5="A",Inputs_Actuals!J155,0)</f>
        <v>0</v>
      </c>
      <c r="K32" s="60" t="n">
        <f aca="false">IF(K$5="A",Inputs_Actuals!K155,0)</f>
        <v>0</v>
      </c>
      <c r="L32" s="60" t="n">
        <f aca="false">IF(L$5="A",Inputs_Actuals!L155,0)</f>
        <v>0</v>
      </c>
      <c r="M32" s="60" t="n">
        <f aca="false">IF(M$5="A",Inputs_Actuals!M155,0)</f>
        <v>0</v>
      </c>
      <c r="N32" s="60" t="n">
        <f aca="false">IF(N$5="A",Inputs_Actuals!N155,0)</f>
        <v>0</v>
      </c>
      <c r="O32" s="60" t="n">
        <f aca="false">IF(O$5="A",Inputs_Actuals!O155,0)</f>
        <v>0</v>
      </c>
      <c r="P32" s="60" t="n">
        <f aca="false">IF(P$5="A",Inputs_Actuals!P155,0)</f>
        <v>0</v>
      </c>
      <c r="Q32" s="60" t="n">
        <f aca="false">IF(Q$5="A",Inputs_Actuals!Q155,0)</f>
        <v>0</v>
      </c>
      <c r="R32" s="60" t="n">
        <f aca="false">IF(R$5="A",Inputs_Actuals!R155,0)</f>
        <v>0</v>
      </c>
      <c r="S32" s="60" t="n">
        <f aca="false">IF(S$5="A",Inputs_Actuals!S155,P33)</f>
        <v>129583.6944</v>
      </c>
      <c r="T32" s="60" t="n">
        <f aca="false">IF(T$5="A",Inputs_Actuals!T155,0)</f>
        <v>0</v>
      </c>
      <c r="U32" s="60" t="n">
        <f aca="false">IF(U$5="A",Inputs_Actuals!U155,0)</f>
        <v>0</v>
      </c>
      <c r="V32" s="60" t="n">
        <f aca="false">IF(V$5="A",Inputs_Actuals!V155,0)</f>
        <v>0</v>
      </c>
      <c r="W32" s="60" t="n">
        <f aca="false">IF(W$5="A",Inputs_Actuals!W155,0)</f>
        <v>0</v>
      </c>
      <c r="X32" s="60" t="n">
        <f aca="false">IF(X$5="A",Inputs_Actuals!X155,0)</f>
        <v>0</v>
      </c>
      <c r="Y32" s="60" t="n">
        <f aca="false">IF(Y$5="A",Inputs_Actuals!Y155,0)</f>
        <v>0</v>
      </c>
      <c r="Z32" s="60" t="n">
        <f aca="false">IF(Z$5="A",Inputs_Actuals!Z155,0)</f>
        <v>0</v>
      </c>
      <c r="AA32" s="60" t="n">
        <f aca="false">IF(AA$5="A",Inputs_Actuals!AA155,0)</f>
        <v>0</v>
      </c>
      <c r="AB32" s="60" t="n">
        <f aca="false">IF(AB$5="A",Inputs_Actuals!AB155,0)</f>
        <v>0</v>
      </c>
    </row>
    <row r="33" customFormat="false" ht="15" hidden="false" customHeight="false" outlineLevel="0" collapsed="false">
      <c r="A33" s="68" t="s">
        <v>1117</v>
      </c>
      <c r="B33" s="69" t="s">
        <v>1118</v>
      </c>
      <c r="C33" s="70" t="n">
        <f aca="false">P33</f>
        <v>129583.6944</v>
      </c>
      <c r="D33" s="70" t="n">
        <f aca="false">AB33</f>
        <v>147990.74103</v>
      </c>
      <c r="E33" s="74" t="n">
        <f aca="false">Inputs_Actuals!$C$191+E31-E32</f>
        <v>142050.13</v>
      </c>
      <c r="F33" s="70" t="n">
        <f aca="false">E33+F31-F32</f>
        <v>152552.2258</v>
      </c>
      <c r="G33" s="70" t="n">
        <f aca="false">F33+G31-G32</f>
        <v>31682.3013</v>
      </c>
      <c r="H33" s="70" t="n">
        <f aca="false">G33+H31-H32</f>
        <v>42646.3416</v>
      </c>
      <c r="I33" s="70" t="n">
        <f aca="false">H33+I31-I32</f>
        <v>53150.9127</v>
      </c>
      <c r="J33" s="70" t="n">
        <f aca="false">I33+J31-J32</f>
        <v>63647.7903</v>
      </c>
      <c r="K33" s="70" t="n">
        <f aca="false">J33+K31-K32</f>
        <v>74426.3838</v>
      </c>
      <c r="L33" s="70" t="n">
        <f aca="false">K33+L31-L32</f>
        <v>85262.4444</v>
      </c>
      <c r="M33" s="70" t="n">
        <f aca="false">L33+M31-M32</f>
        <v>95973.1344</v>
      </c>
      <c r="N33" s="70" t="n">
        <f aca="false">M33+N31-N32</f>
        <v>107011.6344</v>
      </c>
      <c r="O33" s="70" t="n">
        <f aca="false">N33+O31-O32</f>
        <v>118297.6644</v>
      </c>
      <c r="P33" s="70" t="n">
        <f aca="false">O33+P31-P32</f>
        <v>129583.6944</v>
      </c>
      <c r="Q33" s="70" t="n">
        <f aca="false">P33+Q31-Q32</f>
        <v>141531.7484025</v>
      </c>
      <c r="R33" s="70" t="n">
        <f aca="false">Q33+R31-R32</f>
        <v>153479.802405</v>
      </c>
      <c r="S33" s="70" t="n">
        <f aca="false">R33+S31-S32</f>
        <v>35953.2223875</v>
      </c>
      <c r="T33" s="70" t="n">
        <f aca="false">S33+T31-T32</f>
        <v>48401.83557</v>
      </c>
      <c r="U33" s="70" t="n">
        <f aca="false">T33+U31-U32</f>
        <v>60850.4487525</v>
      </c>
      <c r="V33" s="70" t="n">
        <f aca="false">U33+V31-V32</f>
        <v>73299.061935</v>
      </c>
      <c r="W33" s="70" t="n">
        <f aca="false">V33+W31-W32</f>
        <v>85747.6751175</v>
      </c>
      <c r="X33" s="70" t="n">
        <f aca="false">W33+X31-X32</f>
        <v>98196.2883</v>
      </c>
      <c r="Y33" s="70" t="n">
        <f aca="false">X33+Y31-Y32</f>
        <v>110644.9014825</v>
      </c>
      <c r="Z33" s="70" t="n">
        <f aca="false">Y33+Z31-Z32</f>
        <v>123093.514665</v>
      </c>
      <c r="AA33" s="70" t="n">
        <f aca="false">Z33+AA31-AA32</f>
        <v>135542.1278475</v>
      </c>
      <c r="AB33" s="70" t="n">
        <f aca="false">AA33+AB31-AB32</f>
        <v>147990.74103</v>
      </c>
    </row>
    <row r="34" customFormat="false" ht="15" hidden="false" customHeight="false" outlineLevel="0" collapsed="false">
      <c r="A34" s="22" t="s">
        <v>1119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row>
    <row r="35" customFormat="false" ht="15" hidden="false" customHeight="false" outlineLevel="0" collapsed="false">
      <c r="A35" s="28" t="s">
        <v>1120</v>
      </c>
      <c r="B35" s="58"/>
      <c r="C35" s="59" t="n">
        <f aca="false">SUM(E35:P35)</f>
        <v>1936976</v>
      </c>
      <c r="D35" s="59" t="n">
        <f aca="false">SUM(Q35:AB35)</f>
        <v>2212118.7</v>
      </c>
      <c r="E35" s="71" t="n">
        <f aca="false">E10+E21</f>
        <v>157700</v>
      </c>
      <c r="F35" s="71" t="n">
        <f aca="false">F10+F21</f>
        <v>156982</v>
      </c>
      <c r="G35" s="71" t="n">
        <f aca="false">G10+G21</f>
        <v>158895</v>
      </c>
      <c r="H35" s="71" t="n">
        <f aca="false">H10+H21</f>
        <v>163887</v>
      </c>
      <c r="I35" s="71" t="n">
        <f aca="false">I10+I21</f>
        <v>157019</v>
      </c>
      <c r="J35" s="71" t="n">
        <f aca="false">J10+J21</f>
        <v>156904</v>
      </c>
      <c r="K35" s="71" t="n">
        <f aca="false">K10+K21</f>
        <v>161115</v>
      </c>
      <c r="L35" s="71" t="n">
        <f aca="false">L10+L21</f>
        <v>161974</v>
      </c>
      <c r="M35" s="71" t="n">
        <f aca="false">M10+M21</f>
        <v>160100</v>
      </c>
      <c r="N35" s="71" t="n">
        <f aca="false">N10+N21</f>
        <v>165000</v>
      </c>
      <c r="O35" s="71" t="n">
        <f aca="false">O10+O21</f>
        <v>168700</v>
      </c>
      <c r="P35" s="71" t="n">
        <f aca="false">P10+P21</f>
        <v>168700</v>
      </c>
      <c r="Q35" s="71" t="n">
        <f aca="false">Q10+Q21</f>
        <v>178595.725</v>
      </c>
      <c r="R35" s="71" t="n">
        <f aca="false">R10+R21</f>
        <v>178595.725</v>
      </c>
      <c r="S35" s="71" t="n">
        <f aca="false">S10+S21</f>
        <v>180225.925</v>
      </c>
      <c r="T35" s="71" t="n">
        <f aca="false">T10+T21</f>
        <v>186077.925</v>
      </c>
      <c r="U35" s="71" t="n">
        <f aca="false">U10+U21</f>
        <v>186077.925</v>
      </c>
      <c r="V35" s="71" t="n">
        <f aca="false">V10+V21</f>
        <v>186077.925</v>
      </c>
      <c r="W35" s="71" t="n">
        <f aca="false">W10+W21</f>
        <v>186077.925</v>
      </c>
      <c r="X35" s="71" t="n">
        <f aca="false">X10+X21</f>
        <v>186077.925</v>
      </c>
      <c r="Y35" s="71" t="n">
        <f aca="false">Y10+Y21</f>
        <v>186077.925</v>
      </c>
      <c r="Z35" s="71" t="n">
        <f aca="false">Z10+Z21</f>
        <v>186077.925</v>
      </c>
      <c r="AA35" s="71" t="n">
        <f aca="false">AA10+AA21</f>
        <v>186077.925</v>
      </c>
      <c r="AB35" s="71" t="n">
        <f aca="false">AB10+AB21</f>
        <v>186077.925</v>
      </c>
    </row>
    <row r="36" customFormat="false" ht="15" hidden="false" customHeight="false" outlineLevel="0" collapsed="false">
      <c r="A36" s="28" t="s">
        <v>1121</v>
      </c>
      <c r="B36" s="58" t="s">
        <v>1122</v>
      </c>
      <c r="C36" s="59" t="n">
        <f aca="false">SUM(E36:P36)</f>
        <v>409685.00608</v>
      </c>
      <c r="D36" s="59" t="n">
        <f aca="false">SUM(Q36:AB36)</f>
        <v>472028.807096</v>
      </c>
      <c r="E36" s="60" t="n">
        <f aca="false">E35*(Assumptions!$C$22+Assumptions!$C$23)+MAX(0,E35*(1-Assumptions!$C$22-Assumptions!$C$23)-Assumptions!$C$25*E28)*Assumptions!$C$24</f>
        <v>33270.216</v>
      </c>
      <c r="F36" s="60" t="n">
        <f aca="false">F35*(Assumptions!$C$22+Assumptions!$C$23)+MAX(0,F35*(1-Assumptions!$C$22-Assumptions!$C$23)-Assumptions!$C$25*F28)*Assumptions!$C$24</f>
        <v>33092.09456</v>
      </c>
      <c r="G36" s="60" t="n">
        <f aca="false">G35*(Assumptions!$C$22+Assumptions!$C$23)+MAX(0,G35*(1-Assumptions!$C$22-Assumptions!$C$23)-Assumptions!$C$25*G28)*Assumptions!$C$24</f>
        <v>33566.6716</v>
      </c>
      <c r="H36" s="60" t="n">
        <f aca="false">H35*(Assumptions!$C$22+Assumptions!$C$23)+MAX(0,H35*(1-Assumptions!$C$22-Assumptions!$C$23)-Assumptions!$C$25*H28)*Assumptions!$C$24</f>
        <v>34651.08696</v>
      </c>
      <c r="I36" s="60" t="n">
        <f aca="false">I35*(Assumptions!$C$22+Assumptions!$C$23)+MAX(0,I35*(1-Assumptions!$C$22-Assumptions!$C$23)-Assumptions!$C$25*I28)*Assumptions!$C$24</f>
        <v>33255.27352</v>
      </c>
      <c r="J36" s="60" t="n">
        <f aca="false">J35*(Assumptions!$C$22+Assumptions!$C$23)+MAX(0,J35*(1-Assumptions!$C$22-Assumptions!$C$23)-Assumptions!$C$25*J28)*Assumptions!$C$24</f>
        <v>33226.74432</v>
      </c>
      <c r="K36" s="60" t="n">
        <f aca="false">K35*(Assumptions!$C$22+Assumptions!$C$23)+MAX(0,K35*(1-Assumptions!$C$22-Assumptions!$C$23)-Assumptions!$C$25*K28)*Assumptions!$C$24</f>
        <v>34117.4092</v>
      </c>
      <c r="L36" s="60" t="n">
        <f aca="false">L35*(Assumptions!$C$22+Assumptions!$C$23)+MAX(0,L35*(1-Assumptions!$C$22-Assumptions!$C$23)-Assumptions!$C$25*L28)*Assumptions!$C$24</f>
        <v>34330.50992</v>
      </c>
      <c r="M36" s="60" t="n">
        <f aca="false">M35*(Assumptions!$C$22+Assumptions!$C$23)+MAX(0,M35*(1-Assumptions!$C$22-Assumptions!$C$23)-Assumptions!$C$25*M28)*Assumptions!$C$24</f>
        <v>33865.608</v>
      </c>
      <c r="N36" s="60" t="n">
        <f aca="false">N35*(Assumptions!$C$22+Assumptions!$C$23)+MAX(0,N35*(1-Assumptions!$C$22-Assumptions!$C$23)-Assumptions!$C$25*N28)*Assumptions!$C$24</f>
        <v>34927.2</v>
      </c>
      <c r="O36" s="60" t="n">
        <f aca="false">O35*(Assumptions!$C$22+Assumptions!$C$23)+MAX(0,O35*(1-Assumptions!$C$22-Assumptions!$C$23)-Assumptions!$C$25*O28)*Assumptions!$C$24</f>
        <v>35691.096</v>
      </c>
      <c r="P36" s="60" t="n">
        <f aca="false">P35*(Assumptions!$C$22+Assumptions!$C$23)+MAX(0,P35*(1-Assumptions!$C$22-Assumptions!$C$23)-Assumptions!$C$25*P28)*Assumptions!$C$24</f>
        <v>35691.096</v>
      </c>
      <c r="Q36" s="60" t="n">
        <f aca="false">Q35*(Assumptions!$C$22+Assumptions!$C$23)+MAX(0,Q35*(1-Assumptions!$C$22-Assumptions!$C$23)-Assumptions!$C$25*Q28)*Assumptions!$C$24</f>
        <v>38076.727458</v>
      </c>
      <c r="R36" s="60" t="n">
        <f aca="false">R35*(Assumptions!$C$22+Assumptions!$C$23)+MAX(0,R35*(1-Assumptions!$C$22-Assumptions!$C$23)-Assumptions!$C$25*R28)*Assumptions!$C$24</f>
        <v>38076.727458</v>
      </c>
      <c r="S36" s="60" t="n">
        <f aca="false">S35*(Assumptions!$C$22+Assumptions!$C$23)+MAX(0,S35*(1-Assumptions!$C$22-Assumptions!$C$23)-Assumptions!$C$25*S28)*Assumptions!$C$24</f>
        <v>38419.547474</v>
      </c>
      <c r="T36" s="60" t="n">
        <f aca="false">T35*(Assumptions!$C$22+Assumptions!$C$23)+MAX(0,T35*(1-Assumptions!$C$22-Assumptions!$C$23)-Assumptions!$C$25*T28)*Assumptions!$C$24</f>
        <v>39717.311634</v>
      </c>
      <c r="U36" s="60" t="n">
        <f aca="false">U35*(Assumptions!$C$22+Assumptions!$C$23)+MAX(0,U35*(1-Assumptions!$C$22-Assumptions!$C$23)-Assumptions!$C$25*U28)*Assumptions!$C$24</f>
        <v>39717.311634</v>
      </c>
      <c r="V36" s="60" t="n">
        <f aca="false">V35*(Assumptions!$C$22+Assumptions!$C$23)+MAX(0,V35*(1-Assumptions!$C$22-Assumptions!$C$23)-Assumptions!$C$25*V28)*Assumptions!$C$24</f>
        <v>39717.311634</v>
      </c>
      <c r="W36" s="60" t="n">
        <f aca="false">W35*(Assumptions!$C$22+Assumptions!$C$23)+MAX(0,W35*(1-Assumptions!$C$22-Assumptions!$C$23)-Assumptions!$C$25*W28)*Assumptions!$C$24</f>
        <v>39717.311634</v>
      </c>
      <c r="X36" s="60" t="n">
        <f aca="false">X35*(Assumptions!$C$22+Assumptions!$C$23)+MAX(0,X35*(1-Assumptions!$C$22-Assumptions!$C$23)-Assumptions!$C$25*X28)*Assumptions!$C$24</f>
        <v>39717.311634</v>
      </c>
      <c r="Y36" s="60" t="n">
        <f aca="false">Y35*(Assumptions!$C$22+Assumptions!$C$23)+MAX(0,Y35*(1-Assumptions!$C$22-Assumptions!$C$23)-Assumptions!$C$25*Y28)*Assumptions!$C$24</f>
        <v>39717.311634</v>
      </c>
      <c r="Z36" s="60" t="n">
        <f aca="false">Z35*(Assumptions!$C$22+Assumptions!$C$23)+MAX(0,Z35*(1-Assumptions!$C$22-Assumptions!$C$23)-Assumptions!$C$25*Z28)*Assumptions!$C$24</f>
        <v>39717.311634</v>
      </c>
      <c r="AA36" s="60" t="n">
        <f aca="false">AA35*(Assumptions!$C$22+Assumptions!$C$23)+MAX(0,AA35*(1-Assumptions!$C$22-Assumptions!$C$23)-Assumptions!$C$25*AA28)*Assumptions!$C$24</f>
        <v>39717.311634</v>
      </c>
      <c r="AB36" s="60" t="n">
        <f aca="false">AB35*(Assumptions!$C$22+Assumptions!$C$23)+MAX(0,AB35*(1-Assumptions!$C$22-Assumptions!$C$23)-Assumptions!$C$25*AB28)*Assumptions!$C$24</f>
        <v>39717.311634</v>
      </c>
    </row>
    <row r="37" customFormat="false" ht="15" hidden="false" customHeight="false" outlineLevel="0" collapsed="false">
      <c r="A37" s="28" t="s">
        <v>1089</v>
      </c>
      <c r="B37" s="58"/>
      <c r="C37" s="59" t="n">
        <f aca="false">SUM(E37:P37)</f>
        <v>654697.888</v>
      </c>
      <c r="D37" s="59" t="n">
        <f aca="false">SUM(Q37:AB37)</f>
        <v>747696.1206</v>
      </c>
      <c r="E37" s="71" t="n">
        <f aca="false">E11+E22</f>
        <v>53302.6</v>
      </c>
      <c r="F37" s="71" t="n">
        <f aca="false">F11+F22</f>
        <v>53059.916</v>
      </c>
      <c r="G37" s="71" t="n">
        <f aca="false">G11+G22</f>
        <v>53706.51</v>
      </c>
      <c r="H37" s="71" t="n">
        <f aca="false">H11+H22</f>
        <v>55393.806</v>
      </c>
      <c r="I37" s="71" t="n">
        <f aca="false">I11+I22</f>
        <v>53072.422</v>
      </c>
      <c r="J37" s="71" t="n">
        <f aca="false">J11+J22</f>
        <v>53033.552</v>
      </c>
      <c r="K37" s="71" t="n">
        <f aca="false">K11+K22</f>
        <v>54456.87</v>
      </c>
      <c r="L37" s="71" t="n">
        <f aca="false">L11+L22</f>
        <v>54747.212</v>
      </c>
      <c r="M37" s="71" t="n">
        <f aca="false">M11+M22</f>
        <v>54113.8</v>
      </c>
      <c r="N37" s="71" t="n">
        <f aca="false">N11+N22</f>
        <v>55770</v>
      </c>
      <c r="O37" s="71" t="n">
        <f aca="false">O11+O22</f>
        <v>57020.6</v>
      </c>
      <c r="P37" s="71" t="n">
        <f aca="false">P11+P22</f>
        <v>57020.6</v>
      </c>
      <c r="Q37" s="71" t="n">
        <f aca="false">Q11+Q22</f>
        <v>60365.35505</v>
      </c>
      <c r="R37" s="71" t="n">
        <f aca="false">R11+R22</f>
        <v>60365.35505</v>
      </c>
      <c r="S37" s="71" t="n">
        <f aca="false">S11+S22</f>
        <v>60916.36265</v>
      </c>
      <c r="T37" s="71" t="n">
        <f aca="false">T11+T22</f>
        <v>62894.33865</v>
      </c>
      <c r="U37" s="71" t="n">
        <f aca="false">U11+U22</f>
        <v>62894.33865</v>
      </c>
      <c r="V37" s="71" t="n">
        <f aca="false">V11+V22</f>
        <v>62894.33865</v>
      </c>
      <c r="W37" s="71" t="n">
        <f aca="false">W11+W22</f>
        <v>62894.33865</v>
      </c>
      <c r="X37" s="71" t="n">
        <f aca="false">X11+X22</f>
        <v>62894.33865</v>
      </c>
      <c r="Y37" s="71" t="n">
        <f aca="false">Y11+Y22</f>
        <v>62894.33865</v>
      </c>
      <c r="Z37" s="71" t="n">
        <f aca="false">Z11+Z22</f>
        <v>62894.33865</v>
      </c>
      <c r="AA37" s="71" t="n">
        <f aca="false">AA11+AA22</f>
        <v>62894.33865</v>
      </c>
      <c r="AB37" s="71" t="n">
        <f aca="false">AB11+AB22</f>
        <v>62894.33865</v>
      </c>
    </row>
    <row r="38" customFormat="false" ht="15" hidden="false" customHeight="false" outlineLevel="0" collapsed="false">
      <c r="A38" s="28" t="s">
        <v>1123</v>
      </c>
      <c r="B38" s="58" t="s">
        <v>1124</v>
      </c>
      <c r="C38" s="59" t="n">
        <f aca="false">SUM(E38:P38)</f>
        <v>98281.0164424514</v>
      </c>
      <c r="D38" s="59" t="n">
        <f aca="false">SUM(Q38:AB38)</f>
        <v>96848.8</v>
      </c>
      <c r="E38" s="60" t="n">
        <f aca="false">E32/(1+Assumptions!$C$20+Assumptions!$C$21)</f>
        <v>0</v>
      </c>
      <c r="F38" s="60" t="n">
        <f aca="false">F32/(1+Assumptions!$C$20+Assumptions!$C$21)</f>
        <v>0</v>
      </c>
      <c r="G38" s="60" t="n">
        <f aca="false">G32/(1+Assumptions!$C$20+Assumptions!$C$21)</f>
        <v>98281.0164424514</v>
      </c>
      <c r="H38" s="60" t="n">
        <f aca="false">H32/(1+Assumptions!$C$20+Assumptions!$C$21)</f>
        <v>0</v>
      </c>
      <c r="I38" s="60" t="n">
        <f aca="false">I32/(1+Assumptions!$C$20+Assumptions!$C$21)</f>
        <v>0</v>
      </c>
      <c r="J38" s="60" t="n">
        <f aca="false">J32/(1+Assumptions!$C$20+Assumptions!$C$21)</f>
        <v>0</v>
      </c>
      <c r="K38" s="60" t="n">
        <f aca="false">K32/(1+Assumptions!$C$20+Assumptions!$C$21)</f>
        <v>0</v>
      </c>
      <c r="L38" s="60" t="n">
        <f aca="false">L32/(1+Assumptions!$C$20+Assumptions!$C$21)</f>
        <v>0</v>
      </c>
      <c r="M38" s="60" t="n">
        <f aca="false">M32/(1+Assumptions!$C$20+Assumptions!$C$21)</f>
        <v>0</v>
      </c>
      <c r="N38" s="60" t="n">
        <f aca="false">N32/(1+Assumptions!$C$20+Assumptions!$C$21)</f>
        <v>0</v>
      </c>
      <c r="O38" s="60" t="n">
        <f aca="false">O32/(1+Assumptions!$C$20+Assumptions!$C$21)</f>
        <v>0</v>
      </c>
      <c r="P38" s="60" t="n">
        <f aca="false">P32/(1+Assumptions!$C$20+Assumptions!$C$21)</f>
        <v>0</v>
      </c>
      <c r="Q38" s="60" t="n">
        <f aca="false">Q32/(1+Assumptions!$C$20+Assumptions!$C$21)</f>
        <v>0</v>
      </c>
      <c r="R38" s="60" t="n">
        <f aca="false">R32/(1+Assumptions!$C$20+Assumptions!$C$21)</f>
        <v>0</v>
      </c>
      <c r="S38" s="60" t="n">
        <f aca="false">S32/(1+Assumptions!$C$20+Assumptions!$C$21)</f>
        <v>96848.8</v>
      </c>
      <c r="T38" s="60" t="n">
        <f aca="false">T32/(1+Assumptions!$C$20+Assumptions!$C$21)</f>
        <v>0</v>
      </c>
      <c r="U38" s="60" t="n">
        <f aca="false">U32/(1+Assumptions!$C$20+Assumptions!$C$21)</f>
        <v>0</v>
      </c>
      <c r="V38" s="60" t="n">
        <f aca="false">V32/(1+Assumptions!$C$20+Assumptions!$C$21)</f>
        <v>0</v>
      </c>
      <c r="W38" s="60" t="n">
        <f aca="false">W32/(1+Assumptions!$C$20+Assumptions!$C$21)</f>
        <v>0</v>
      </c>
      <c r="X38" s="60" t="n">
        <f aca="false">X32/(1+Assumptions!$C$20+Assumptions!$C$21)</f>
        <v>0</v>
      </c>
      <c r="Y38" s="60" t="n">
        <f aca="false">Y32/(1+Assumptions!$C$20+Assumptions!$C$21)</f>
        <v>0</v>
      </c>
      <c r="Z38" s="60" t="n">
        <f aca="false">Z32/(1+Assumptions!$C$20+Assumptions!$C$21)</f>
        <v>0</v>
      </c>
      <c r="AA38" s="60" t="n">
        <f aca="false">AA32/(1+Assumptions!$C$20+Assumptions!$C$21)</f>
        <v>0</v>
      </c>
      <c r="AB38" s="60" t="n">
        <f aca="false">AB32/(1+Assumptions!$C$20+Assumptions!$C$21)</f>
        <v>0</v>
      </c>
    </row>
    <row r="39" customFormat="false" ht="15" hidden="false" customHeight="false" outlineLevel="0" collapsed="false">
      <c r="A39" s="28" t="s">
        <v>1125</v>
      </c>
      <c r="B39" s="58" t="s">
        <v>1126</v>
      </c>
      <c r="C39" s="59" t="n">
        <f aca="false">SUM(E39:P39)</f>
        <v>24381.5545590433</v>
      </c>
      <c r="D39" s="59" t="n">
        <f aca="false">SUM(Q39:AB39)</f>
        <v>24026.250304</v>
      </c>
      <c r="E39" s="60" t="n">
        <f aca="false">E38*(Assumptions!$C$22+Assumptions!$C$23+(1-Assumptions!$C$22-Assumptions!$C$23)*Assumptions!$C$24)</f>
        <v>0</v>
      </c>
      <c r="F39" s="60" t="n">
        <f aca="false">F38*(Assumptions!$C$22+Assumptions!$C$23+(1-Assumptions!$C$22-Assumptions!$C$23)*Assumptions!$C$24)</f>
        <v>0</v>
      </c>
      <c r="G39" s="60" t="n">
        <f aca="false">G38*(Assumptions!$C$22+Assumptions!$C$23+(1-Assumptions!$C$22-Assumptions!$C$23)*Assumptions!$C$24)</f>
        <v>24381.5545590433</v>
      </c>
      <c r="H39" s="60" t="n">
        <f aca="false">H38*(Assumptions!$C$22+Assumptions!$C$23+(1-Assumptions!$C$22-Assumptions!$C$23)*Assumptions!$C$24)</f>
        <v>0</v>
      </c>
      <c r="I39" s="60" t="n">
        <f aca="false">I38*(Assumptions!$C$22+Assumptions!$C$23+(1-Assumptions!$C$22-Assumptions!$C$23)*Assumptions!$C$24)</f>
        <v>0</v>
      </c>
      <c r="J39" s="60" t="n">
        <f aca="false">J38*(Assumptions!$C$22+Assumptions!$C$23+(1-Assumptions!$C$22-Assumptions!$C$23)*Assumptions!$C$24)</f>
        <v>0</v>
      </c>
      <c r="K39" s="60" t="n">
        <f aca="false">K38*(Assumptions!$C$22+Assumptions!$C$23+(1-Assumptions!$C$22-Assumptions!$C$23)*Assumptions!$C$24)</f>
        <v>0</v>
      </c>
      <c r="L39" s="60" t="n">
        <f aca="false">L38*(Assumptions!$C$22+Assumptions!$C$23+(1-Assumptions!$C$22-Assumptions!$C$23)*Assumptions!$C$24)</f>
        <v>0</v>
      </c>
      <c r="M39" s="60" t="n">
        <f aca="false">M38*(Assumptions!$C$22+Assumptions!$C$23+(1-Assumptions!$C$22-Assumptions!$C$23)*Assumptions!$C$24)</f>
        <v>0</v>
      </c>
      <c r="N39" s="60" t="n">
        <f aca="false">N38*(Assumptions!$C$22+Assumptions!$C$23+(1-Assumptions!$C$22-Assumptions!$C$23)*Assumptions!$C$24)</f>
        <v>0</v>
      </c>
      <c r="O39" s="60" t="n">
        <f aca="false">O38*(Assumptions!$C$22+Assumptions!$C$23+(1-Assumptions!$C$22-Assumptions!$C$23)*Assumptions!$C$24)</f>
        <v>0</v>
      </c>
      <c r="P39" s="60" t="n">
        <f aca="false">P38*(Assumptions!$C$22+Assumptions!$C$23+(1-Assumptions!$C$22-Assumptions!$C$23)*Assumptions!$C$24)</f>
        <v>0</v>
      </c>
      <c r="Q39" s="60" t="n">
        <f aca="false">Q38*(Assumptions!$C$22+Assumptions!$C$23+(1-Assumptions!$C$22-Assumptions!$C$23)*Assumptions!$C$24)</f>
        <v>0</v>
      </c>
      <c r="R39" s="60" t="n">
        <f aca="false">R38*(Assumptions!$C$22+Assumptions!$C$23+(1-Assumptions!$C$22-Assumptions!$C$23)*Assumptions!$C$24)</f>
        <v>0</v>
      </c>
      <c r="S39" s="60" t="n">
        <f aca="false">S38*(Assumptions!$C$22+Assumptions!$C$23+(1-Assumptions!$C$22-Assumptions!$C$23)*Assumptions!$C$24)</f>
        <v>24026.250304</v>
      </c>
      <c r="T39" s="60" t="n">
        <f aca="false">T38*(Assumptions!$C$22+Assumptions!$C$23+(1-Assumptions!$C$22-Assumptions!$C$23)*Assumptions!$C$24)</f>
        <v>0</v>
      </c>
      <c r="U39" s="60" t="n">
        <f aca="false">U38*(Assumptions!$C$22+Assumptions!$C$23+(1-Assumptions!$C$22-Assumptions!$C$23)*Assumptions!$C$24)</f>
        <v>0</v>
      </c>
      <c r="V39" s="60" t="n">
        <f aca="false">V38*(Assumptions!$C$22+Assumptions!$C$23+(1-Assumptions!$C$22-Assumptions!$C$23)*Assumptions!$C$24)</f>
        <v>0</v>
      </c>
      <c r="W39" s="60" t="n">
        <f aca="false">W38*(Assumptions!$C$22+Assumptions!$C$23+(1-Assumptions!$C$22-Assumptions!$C$23)*Assumptions!$C$24)</f>
        <v>0</v>
      </c>
      <c r="X39" s="60" t="n">
        <f aca="false">X38*(Assumptions!$C$22+Assumptions!$C$23+(1-Assumptions!$C$22-Assumptions!$C$23)*Assumptions!$C$24)</f>
        <v>0</v>
      </c>
      <c r="Y39" s="60" t="n">
        <f aca="false">Y38*(Assumptions!$C$22+Assumptions!$C$23+(1-Assumptions!$C$22-Assumptions!$C$23)*Assumptions!$C$24)</f>
        <v>0</v>
      </c>
      <c r="Z39" s="60" t="n">
        <f aca="false">Z38*(Assumptions!$C$22+Assumptions!$C$23+(1-Assumptions!$C$22-Assumptions!$C$23)*Assumptions!$C$24)</f>
        <v>0</v>
      </c>
      <c r="AA39" s="60" t="n">
        <f aca="false">AA38*(Assumptions!$C$22+Assumptions!$C$23+(1-Assumptions!$C$22-Assumptions!$C$23)*Assumptions!$C$24)</f>
        <v>0</v>
      </c>
      <c r="AB39" s="60" t="n">
        <f aca="false">AB38*(Assumptions!$C$22+Assumptions!$C$23+(1-Assumptions!$C$22-Assumptions!$C$23)*Assumptions!$C$24)</f>
        <v>0</v>
      </c>
    </row>
    <row r="40" customFormat="false" ht="15" hidden="false" customHeight="false" outlineLevel="0" collapsed="false">
      <c r="A40" s="28" t="s">
        <v>1127</v>
      </c>
      <c r="B40" s="58" t="s">
        <v>1128</v>
      </c>
      <c r="C40" s="59" t="n">
        <f aca="false">SUM(E40:P40)</f>
        <v>33218.9835575486</v>
      </c>
      <c r="D40" s="59" t="n">
        <f aca="false">SUM(Q40:AB40)</f>
        <v>32734.8944</v>
      </c>
      <c r="E40" s="71" t="n">
        <f aca="false">E32-E38</f>
        <v>0</v>
      </c>
      <c r="F40" s="71" t="n">
        <f aca="false">F32-F38</f>
        <v>0</v>
      </c>
      <c r="G40" s="71" t="n">
        <f aca="false">G32-G38</f>
        <v>33218.9835575486</v>
      </c>
      <c r="H40" s="71" t="n">
        <f aca="false">H32-H38</f>
        <v>0</v>
      </c>
      <c r="I40" s="71" t="n">
        <f aca="false">I32-I38</f>
        <v>0</v>
      </c>
      <c r="J40" s="71" t="n">
        <f aca="false">J32-J38</f>
        <v>0</v>
      </c>
      <c r="K40" s="71" t="n">
        <f aca="false">K32-K38</f>
        <v>0</v>
      </c>
      <c r="L40" s="71" t="n">
        <f aca="false">L32-L38</f>
        <v>0</v>
      </c>
      <c r="M40" s="71" t="n">
        <f aca="false">M32-M38</f>
        <v>0</v>
      </c>
      <c r="N40" s="71" t="n">
        <f aca="false">N32-N38</f>
        <v>0</v>
      </c>
      <c r="O40" s="71" t="n">
        <f aca="false">O32-O38</f>
        <v>0</v>
      </c>
      <c r="P40" s="71" t="n">
        <f aca="false">P32-P38</f>
        <v>0</v>
      </c>
      <c r="Q40" s="71" t="n">
        <f aca="false">Q32-Q38</f>
        <v>0</v>
      </c>
      <c r="R40" s="71" t="n">
        <f aca="false">R32-R38</f>
        <v>0</v>
      </c>
      <c r="S40" s="71" t="n">
        <f aca="false">S32-S38</f>
        <v>32734.8944</v>
      </c>
      <c r="T40" s="71" t="n">
        <f aca="false">T32-T38</f>
        <v>0</v>
      </c>
      <c r="U40" s="71" t="n">
        <f aca="false">U32-U38</f>
        <v>0</v>
      </c>
      <c r="V40" s="71" t="n">
        <f aca="false">V32-V38</f>
        <v>0</v>
      </c>
      <c r="W40" s="71" t="n">
        <f aca="false">W32-W38</f>
        <v>0</v>
      </c>
      <c r="X40" s="71" t="n">
        <f aca="false">X32-X38</f>
        <v>0</v>
      </c>
      <c r="Y40" s="71" t="n">
        <f aca="false">Y32-Y38</f>
        <v>0</v>
      </c>
      <c r="Z40" s="71" t="n">
        <f aca="false">Z32-Z38</f>
        <v>0</v>
      </c>
      <c r="AA40" s="71" t="n">
        <f aca="false">AA32-AA38</f>
        <v>0</v>
      </c>
      <c r="AB40" s="71" t="n">
        <f aca="false">AB32-AB38</f>
        <v>0</v>
      </c>
    </row>
    <row r="41" customFormat="false" ht="15" hidden="false" customHeight="false" outlineLevel="0" collapsed="false">
      <c r="A41" s="28" t="s">
        <v>1129</v>
      </c>
      <c r="B41" s="58"/>
      <c r="E41" s="60" t="n">
        <f aca="false">Inputs_Actuals!$C$189</f>
        <v>86983.07</v>
      </c>
      <c r="F41" s="71" t="n">
        <f aca="false">E44</f>
        <v>86572.816</v>
      </c>
      <c r="G41" s="71" t="n">
        <f aca="false">F44</f>
        <v>86152.01056</v>
      </c>
      <c r="H41" s="71" t="n">
        <f aca="false">G44</f>
        <v>144873.719716592</v>
      </c>
      <c r="I41" s="71" t="n">
        <f aca="false">H44</f>
        <v>90044.89296</v>
      </c>
      <c r="J41" s="71" t="n">
        <f aca="false">I44</f>
        <v>86327.69552</v>
      </c>
      <c r="K41" s="71" t="n">
        <f aca="false">J44</f>
        <v>86260.29632</v>
      </c>
      <c r="L41" s="71" t="n">
        <f aca="false">K44</f>
        <v>88574.2792</v>
      </c>
      <c r="M41" s="71" t="n">
        <f aca="false">L44</f>
        <v>89077.72192</v>
      </c>
      <c r="N41" s="71" t="n">
        <f aca="false">M44</f>
        <v>87979.408</v>
      </c>
      <c r="O41" s="71" t="n">
        <f aca="false">N44</f>
        <v>90697.2</v>
      </c>
      <c r="P41" s="71" t="n">
        <f aca="false">O44</f>
        <v>92711.696</v>
      </c>
      <c r="Q41" s="71" t="n">
        <f aca="false">P44</f>
        <v>92711.696</v>
      </c>
      <c r="R41" s="71" t="n">
        <f aca="false">Q44</f>
        <v>98442.082508</v>
      </c>
      <c r="S41" s="71" t="n">
        <f aca="false">R44</f>
        <v>98442.082508</v>
      </c>
      <c r="T41" s="71" t="n">
        <f aca="false">S44</f>
        <v>156097.054828</v>
      </c>
      <c r="U41" s="71" t="n">
        <f aca="false">T44</f>
        <v>102611.650284</v>
      </c>
      <c r="V41" s="71" t="n">
        <f aca="false">U44</f>
        <v>102611.650284</v>
      </c>
      <c r="W41" s="71" t="n">
        <f aca="false">V44</f>
        <v>102611.650284</v>
      </c>
      <c r="X41" s="71" t="n">
        <f aca="false">W44</f>
        <v>102611.650284</v>
      </c>
      <c r="Y41" s="71" t="n">
        <f aca="false">X44</f>
        <v>102611.650284</v>
      </c>
      <c r="Z41" s="71" t="n">
        <f aca="false">Y44</f>
        <v>102611.650284</v>
      </c>
      <c r="AA41" s="71" t="n">
        <f aca="false">Z44</f>
        <v>102611.650284</v>
      </c>
      <c r="AB41" s="71" t="n">
        <f aca="false">AA44</f>
        <v>102611.650284</v>
      </c>
    </row>
    <row r="42" customFormat="false" ht="15" hidden="false" customHeight="false" outlineLevel="0" collapsed="false">
      <c r="A42" s="28" t="s">
        <v>1130</v>
      </c>
      <c r="B42" s="58" t="s">
        <v>1131</v>
      </c>
      <c r="C42" s="59" t="n">
        <f aca="false">SUM(E42:P42)</f>
        <v>1121983.43219659</v>
      </c>
      <c r="D42" s="59" t="n">
        <f aca="false">SUM(Q42:AB42)</f>
        <v>1276486.0724</v>
      </c>
      <c r="E42" s="71" t="n">
        <f aca="false">E36+E37+E39+E40</f>
        <v>86572.816</v>
      </c>
      <c r="F42" s="71" t="n">
        <f aca="false">F36+F37+F39+F40</f>
        <v>86152.01056</v>
      </c>
      <c r="G42" s="71" t="n">
        <f aca="false">G36+G37+G39+G40</f>
        <v>144873.719716592</v>
      </c>
      <c r="H42" s="71" t="n">
        <f aca="false">H36+H37+H39+H40</f>
        <v>90044.89296</v>
      </c>
      <c r="I42" s="71" t="n">
        <f aca="false">I36+I37+I39+I40</f>
        <v>86327.69552</v>
      </c>
      <c r="J42" s="71" t="n">
        <f aca="false">J36+J37+J39+J40</f>
        <v>86260.29632</v>
      </c>
      <c r="K42" s="71" t="n">
        <f aca="false">K36+K37+K39+K40</f>
        <v>88574.2792</v>
      </c>
      <c r="L42" s="71" t="n">
        <f aca="false">L36+L37+L39+L40</f>
        <v>89077.72192</v>
      </c>
      <c r="M42" s="71" t="n">
        <f aca="false">M36+M37+M39+M40</f>
        <v>87979.408</v>
      </c>
      <c r="N42" s="71" t="n">
        <f aca="false">N36+N37+N39+N40</f>
        <v>90697.2</v>
      </c>
      <c r="O42" s="71" t="n">
        <f aca="false">O36+O37+O39+O40</f>
        <v>92711.696</v>
      </c>
      <c r="P42" s="71" t="n">
        <f aca="false">P36+P37+P39+P40</f>
        <v>92711.696</v>
      </c>
      <c r="Q42" s="71" t="n">
        <f aca="false">Q36+Q37+Q39+Q40</f>
        <v>98442.082508</v>
      </c>
      <c r="R42" s="71" t="n">
        <f aca="false">R36+R37+R39+R40</f>
        <v>98442.082508</v>
      </c>
      <c r="S42" s="71" t="n">
        <f aca="false">S36+S37+S39+S40</f>
        <v>156097.054828</v>
      </c>
      <c r="T42" s="71" t="n">
        <f aca="false">T36+T37+T39+T40</f>
        <v>102611.650284</v>
      </c>
      <c r="U42" s="71" t="n">
        <f aca="false">U36+U37+U39+U40</f>
        <v>102611.650284</v>
      </c>
      <c r="V42" s="71" t="n">
        <f aca="false">V36+V37+V39+V40</f>
        <v>102611.650284</v>
      </c>
      <c r="W42" s="71" t="n">
        <f aca="false">W36+W37+W39+W40</f>
        <v>102611.650284</v>
      </c>
      <c r="X42" s="71" t="n">
        <f aca="false">X36+X37+X39+X40</f>
        <v>102611.650284</v>
      </c>
      <c r="Y42" s="71" t="n">
        <f aca="false">Y36+Y37+Y39+Y40</f>
        <v>102611.650284</v>
      </c>
      <c r="Z42" s="71" t="n">
        <f aca="false">Z36+Z37+Z39+Z40</f>
        <v>102611.650284</v>
      </c>
      <c r="AA42" s="71" t="n">
        <f aca="false">AA36+AA37+AA39+AA40</f>
        <v>102611.650284</v>
      </c>
      <c r="AB42" s="71" t="n">
        <f aca="false">AB36+AB37+AB39+AB40</f>
        <v>102611.650284</v>
      </c>
    </row>
    <row r="43" customFormat="false" ht="15" hidden="false" customHeight="false" outlineLevel="0" collapsed="false">
      <c r="A43" s="28" t="s">
        <v>1132</v>
      </c>
      <c r="B43" s="58"/>
      <c r="C43" s="59" t="n">
        <f aca="false">SUM(E43:P43)</f>
        <v>-1116254.80619659</v>
      </c>
      <c r="D43" s="59" t="n">
        <f aca="false">SUM(Q43:AB43)</f>
        <v>-1266586.118116</v>
      </c>
      <c r="E43" s="71" t="n">
        <f aca="false">-E41</f>
        <v>-86983.07</v>
      </c>
      <c r="F43" s="71" t="n">
        <f aca="false">-F41</f>
        <v>-86572.816</v>
      </c>
      <c r="G43" s="71" t="n">
        <f aca="false">-G41</f>
        <v>-86152.01056</v>
      </c>
      <c r="H43" s="71" t="n">
        <f aca="false">-H41</f>
        <v>-144873.719716592</v>
      </c>
      <c r="I43" s="71" t="n">
        <f aca="false">-I41</f>
        <v>-90044.89296</v>
      </c>
      <c r="J43" s="71" t="n">
        <f aca="false">-J41</f>
        <v>-86327.69552</v>
      </c>
      <c r="K43" s="71" t="n">
        <f aca="false">-K41</f>
        <v>-86260.29632</v>
      </c>
      <c r="L43" s="71" t="n">
        <f aca="false">-L41</f>
        <v>-88574.2792</v>
      </c>
      <c r="M43" s="71" t="n">
        <f aca="false">-M41</f>
        <v>-89077.72192</v>
      </c>
      <c r="N43" s="71" t="n">
        <f aca="false">-N41</f>
        <v>-87979.408</v>
      </c>
      <c r="O43" s="71" t="n">
        <f aca="false">-O41</f>
        <v>-90697.2</v>
      </c>
      <c r="P43" s="71" t="n">
        <f aca="false">-P41</f>
        <v>-92711.696</v>
      </c>
      <c r="Q43" s="71" t="n">
        <f aca="false">-Q41</f>
        <v>-92711.696</v>
      </c>
      <c r="R43" s="71" t="n">
        <f aca="false">-R41</f>
        <v>-98442.082508</v>
      </c>
      <c r="S43" s="71" t="n">
        <f aca="false">-S41</f>
        <v>-98442.082508</v>
      </c>
      <c r="T43" s="71" t="n">
        <f aca="false">-T41</f>
        <v>-156097.054828</v>
      </c>
      <c r="U43" s="71" t="n">
        <f aca="false">-U41</f>
        <v>-102611.650284</v>
      </c>
      <c r="V43" s="71" t="n">
        <f aca="false">-V41</f>
        <v>-102611.650284</v>
      </c>
      <c r="W43" s="71" t="n">
        <f aca="false">-W41</f>
        <v>-102611.650284</v>
      </c>
      <c r="X43" s="71" t="n">
        <f aca="false">-X41</f>
        <v>-102611.650284</v>
      </c>
      <c r="Y43" s="71" t="n">
        <f aca="false">-Y41</f>
        <v>-102611.650284</v>
      </c>
      <c r="Z43" s="71" t="n">
        <f aca="false">-Z41</f>
        <v>-102611.650284</v>
      </c>
      <c r="AA43" s="71" t="n">
        <f aca="false">-AA41</f>
        <v>-102611.650284</v>
      </c>
      <c r="AB43" s="71" t="n">
        <f aca="false">-AB41</f>
        <v>-102611.650284</v>
      </c>
    </row>
    <row r="44" customFormat="false" ht="15" hidden="false" customHeight="false" outlineLevel="0" collapsed="false">
      <c r="A44" s="68" t="s">
        <v>1133</v>
      </c>
      <c r="B44" s="69"/>
      <c r="C44" s="70" t="n">
        <f aca="false">P44</f>
        <v>92711.696</v>
      </c>
      <c r="D44" s="70" t="n">
        <f aca="false">AB44</f>
        <v>102611.650284</v>
      </c>
      <c r="E44" s="70" t="n">
        <f aca="false">E41+E42+E43</f>
        <v>86572.816</v>
      </c>
      <c r="F44" s="70" t="n">
        <f aca="false">F41+F42+F43</f>
        <v>86152.01056</v>
      </c>
      <c r="G44" s="70" t="n">
        <f aca="false">G41+G42+G43</f>
        <v>144873.719716592</v>
      </c>
      <c r="H44" s="70" t="n">
        <f aca="false">H41+H42+H43</f>
        <v>90044.89296</v>
      </c>
      <c r="I44" s="70" t="n">
        <f aca="false">I41+I42+I43</f>
        <v>86327.69552</v>
      </c>
      <c r="J44" s="70" t="n">
        <f aca="false">J41+J42+J43</f>
        <v>86260.29632</v>
      </c>
      <c r="K44" s="70" t="n">
        <f aca="false">K41+K42+K43</f>
        <v>88574.2792</v>
      </c>
      <c r="L44" s="70" t="n">
        <f aca="false">L41+L42+L43</f>
        <v>89077.72192</v>
      </c>
      <c r="M44" s="70" t="n">
        <f aca="false">M41+M42+M43</f>
        <v>87979.408</v>
      </c>
      <c r="N44" s="70" t="n">
        <f aca="false">N41+N42+N43</f>
        <v>90697.2</v>
      </c>
      <c r="O44" s="70" t="n">
        <f aca="false">O41+O42+O43</f>
        <v>92711.696</v>
      </c>
      <c r="P44" s="70" t="n">
        <f aca="false">P41+P42+P43</f>
        <v>92711.696</v>
      </c>
      <c r="Q44" s="70" t="n">
        <f aca="false">Q41+Q42+Q43</f>
        <v>98442.082508</v>
      </c>
      <c r="R44" s="70" t="n">
        <f aca="false">R41+R42+R43</f>
        <v>98442.082508</v>
      </c>
      <c r="S44" s="70" t="n">
        <f aca="false">S41+S42+S43</f>
        <v>156097.054828</v>
      </c>
      <c r="T44" s="70" t="n">
        <f aca="false">T41+T42+T43</f>
        <v>102611.650284</v>
      </c>
      <c r="U44" s="70" t="n">
        <f aca="false">U41+U42+U43</f>
        <v>102611.650284</v>
      </c>
      <c r="V44" s="70" t="n">
        <f aca="false">V41+V42+V43</f>
        <v>102611.650284</v>
      </c>
      <c r="W44" s="70" t="n">
        <f aca="false">W41+W42+W43</f>
        <v>102611.650284</v>
      </c>
      <c r="X44" s="70" t="n">
        <f aca="false">X41+X42+X43</f>
        <v>102611.650284</v>
      </c>
      <c r="Y44" s="70" t="n">
        <f aca="false">Y41+Y42+Y43</f>
        <v>102611.650284</v>
      </c>
      <c r="Z44" s="70" t="n">
        <f aca="false">Z41+Z42+Z43</f>
        <v>102611.650284</v>
      </c>
      <c r="AA44" s="70" t="n">
        <f aca="false">AA41+AA42+AA43</f>
        <v>102611.650284</v>
      </c>
      <c r="AB44" s="70" t="n">
        <f aca="false">AB41+AB42+AB43</f>
        <v>102611.650284</v>
      </c>
    </row>
    <row r="45" customFormat="false" ht="15" hidden="false" customHeight="false" outlineLevel="0" collapsed="false">
      <c r="A45" s="28" t="s">
        <v>1134</v>
      </c>
      <c r="B45" s="58" t="s">
        <v>1135</v>
      </c>
      <c r="C45" s="59" t="n">
        <f aca="false">SUM(E45:P45)</f>
        <v>1527290.99392</v>
      </c>
      <c r="D45" s="59" t="n">
        <f aca="false">SUM(Q45:AB45)</f>
        <v>1740089.892904</v>
      </c>
      <c r="E45" s="71" t="n">
        <f aca="false">E35-E36</f>
        <v>124429.784</v>
      </c>
      <c r="F45" s="71" t="n">
        <f aca="false">F35-F36</f>
        <v>123889.90544</v>
      </c>
      <c r="G45" s="71" t="n">
        <f aca="false">G35-G36</f>
        <v>125328.3284</v>
      </c>
      <c r="H45" s="71" t="n">
        <f aca="false">H35-H36</f>
        <v>129235.91304</v>
      </c>
      <c r="I45" s="71" t="n">
        <f aca="false">I35-I36</f>
        <v>123763.72648</v>
      </c>
      <c r="J45" s="71" t="n">
        <f aca="false">J35-J36</f>
        <v>123677.25568</v>
      </c>
      <c r="K45" s="71" t="n">
        <f aca="false">K35-K36</f>
        <v>126997.5908</v>
      </c>
      <c r="L45" s="71" t="n">
        <f aca="false">L35-L36</f>
        <v>127643.49008</v>
      </c>
      <c r="M45" s="71" t="n">
        <f aca="false">M35-M36</f>
        <v>126234.392</v>
      </c>
      <c r="N45" s="71" t="n">
        <f aca="false">N35-N36</f>
        <v>130072.8</v>
      </c>
      <c r="O45" s="71" t="n">
        <f aca="false">O35-O36</f>
        <v>133008.904</v>
      </c>
      <c r="P45" s="71" t="n">
        <f aca="false">P35-P36</f>
        <v>133008.904</v>
      </c>
      <c r="Q45" s="71" t="n">
        <f aca="false">Q35-Q36</f>
        <v>140518.997542</v>
      </c>
      <c r="R45" s="71" t="n">
        <f aca="false">R35-R36</f>
        <v>140518.997542</v>
      </c>
      <c r="S45" s="71" t="n">
        <f aca="false">S35-S36</f>
        <v>141806.377526</v>
      </c>
      <c r="T45" s="71" t="n">
        <f aca="false">T35-T36</f>
        <v>146360.613366</v>
      </c>
      <c r="U45" s="71" t="n">
        <f aca="false">U35-U36</f>
        <v>146360.613366</v>
      </c>
      <c r="V45" s="71" t="n">
        <f aca="false">V35-V36</f>
        <v>146360.613366</v>
      </c>
      <c r="W45" s="71" t="n">
        <f aca="false">W35-W36</f>
        <v>146360.613366</v>
      </c>
      <c r="X45" s="71" t="n">
        <f aca="false">X35-X36</f>
        <v>146360.613366</v>
      </c>
      <c r="Y45" s="71" t="n">
        <f aca="false">Y35-Y36</f>
        <v>146360.613366</v>
      </c>
      <c r="Z45" s="71" t="n">
        <f aca="false">Z35-Z36</f>
        <v>146360.613366</v>
      </c>
      <c r="AA45" s="71" t="n">
        <f aca="false">AA35-AA36</f>
        <v>146360.613366</v>
      </c>
      <c r="AB45" s="71" t="n">
        <f aca="false">AB35-AB36</f>
        <v>146360.613366</v>
      </c>
    </row>
    <row r="46" customFormat="false" ht="15" hidden="false" customHeight="false" outlineLevel="0" collapsed="false">
      <c r="A46" s="28" t="s">
        <v>1136</v>
      </c>
      <c r="B46" s="58" t="s">
        <v>1137</v>
      </c>
      <c r="C46" s="59" t="n">
        <f aca="false">SUM(E46:P46)</f>
        <v>73899.4618834081</v>
      </c>
      <c r="D46" s="59" t="n">
        <f aca="false">SUM(Q46:AB46)</f>
        <v>72822.549696</v>
      </c>
      <c r="E46" s="71" t="n">
        <f aca="false">E38-E39</f>
        <v>0</v>
      </c>
      <c r="F46" s="71" t="n">
        <f aca="false">F38-F39</f>
        <v>0</v>
      </c>
      <c r="G46" s="71" t="n">
        <f aca="false">G38-G39</f>
        <v>73899.4618834081</v>
      </c>
      <c r="H46" s="71" t="n">
        <f aca="false">H38-H39</f>
        <v>0</v>
      </c>
      <c r="I46" s="71" t="n">
        <f aca="false">I38-I39</f>
        <v>0</v>
      </c>
      <c r="J46" s="71" t="n">
        <f aca="false">J38-J39</f>
        <v>0</v>
      </c>
      <c r="K46" s="71" t="n">
        <f aca="false">K38-K39</f>
        <v>0</v>
      </c>
      <c r="L46" s="71" t="n">
        <f aca="false">L38-L39</f>
        <v>0</v>
      </c>
      <c r="M46" s="71" t="n">
        <f aca="false">M38-M39</f>
        <v>0</v>
      </c>
      <c r="N46" s="71" t="n">
        <f aca="false">N38-N39</f>
        <v>0</v>
      </c>
      <c r="O46" s="71" t="n">
        <f aca="false">O38-O39</f>
        <v>0</v>
      </c>
      <c r="P46" s="71" t="n">
        <f aca="false">P38-P39</f>
        <v>0</v>
      </c>
      <c r="Q46" s="71" t="n">
        <f aca="false">Q38-Q39</f>
        <v>0</v>
      </c>
      <c r="R46" s="71" t="n">
        <f aca="false">R38-R39</f>
        <v>0</v>
      </c>
      <c r="S46" s="71" t="n">
        <f aca="false">S38-S39</f>
        <v>72822.549696</v>
      </c>
      <c r="T46" s="71" t="n">
        <f aca="false">T38-T39</f>
        <v>0</v>
      </c>
      <c r="U46" s="71" t="n">
        <f aca="false">U38-U39</f>
        <v>0</v>
      </c>
      <c r="V46" s="71" t="n">
        <f aca="false">V38-V39</f>
        <v>0</v>
      </c>
      <c r="W46" s="71" t="n">
        <f aca="false">W38-W39</f>
        <v>0</v>
      </c>
      <c r="X46" s="71" t="n">
        <f aca="false">X38-X39</f>
        <v>0</v>
      </c>
      <c r="Y46" s="71" t="n">
        <f aca="false">Y38-Y39</f>
        <v>0</v>
      </c>
      <c r="Z46" s="71" t="n">
        <f aca="false">Z38-Z39</f>
        <v>0</v>
      </c>
      <c r="AA46" s="71" t="n">
        <f aca="false">AA38-AA39</f>
        <v>0</v>
      </c>
      <c r="AB46" s="71" t="n">
        <f aca="false">AB38-AB39</f>
        <v>0</v>
      </c>
    </row>
    <row r="47" customFormat="false" ht="15" hidden="false" customHeight="false" outlineLevel="0" collapsed="false">
      <c r="A47" s="22" t="s">
        <v>1138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customFormat="false" ht="15" hidden="false" customHeight="false" outlineLevel="0" collapsed="false">
      <c r="A48" s="28" t="s">
        <v>1139</v>
      </c>
      <c r="B48" s="58"/>
      <c r="C48" s="61" t="n">
        <f aca="false">IF(PL!C16=0,0,(C12+C23+C31+Utilisation!C84)/PL!C16)</f>
        <v>0.735188206332288</v>
      </c>
      <c r="D48" s="61" t="n">
        <f aca="false">IF(PL!D16=0,0,(D12+D23+D31+Utilisation!D84)/PL!D16)</f>
        <v>0.762197442869615</v>
      </c>
      <c r="E48" s="63" t="n">
        <f aca="false">IF(PL!E16=0,0,(E12+E23+E31+Utilisation!E84)/PL!E16)</f>
        <v>0.795726022380741</v>
      </c>
      <c r="F48" s="63" t="n">
        <f aca="false">IF(PL!F16=0,0,(F12+F23+F31+Utilisation!F84)/PL!F16)</f>
        <v>0.859529241065304</v>
      </c>
      <c r="G48" s="63" t="n">
        <f aca="false">IF(PL!G16=0,0,(G12+G23+G31+Utilisation!G84)/PL!G16)</f>
        <v>0.812748106784711</v>
      </c>
      <c r="H48" s="63" t="n">
        <f aca="false">IF(PL!H16=0,0,(H12+H23+H31+Utilisation!H84)/PL!H16)</f>
        <v>0.7749474197117</v>
      </c>
      <c r="I48" s="63" t="n">
        <f aca="false">IF(PL!I16=0,0,(I12+I23+I31+Utilisation!I84)/PL!I16)</f>
        <v>0.700372269289934</v>
      </c>
      <c r="J48" s="63" t="n">
        <f aca="false">IF(PL!J16=0,0,(J12+J23+J31+Utilisation!J84)/PL!J16)</f>
        <v>0.690241682676006</v>
      </c>
      <c r="K48" s="63" t="n">
        <f aca="false">IF(PL!K16=0,0,(K12+K23+K31+Utilisation!K84)/PL!K16)</f>
        <v>0.800017798026032</v>
      </c>
      <c r="L48" s="63" t="n">
        <f aca="false">IF(PL!L16=0,0,(L12+L23+L31+Utilisation!L84)/PL!L16)</f>
        <v>0.689540903565748</v>
      </c>
      <c r="M48" s="63" t="n">
        <f aca="false">IF(PL!M16=0,0,(M12+M23+M31+Utilisation!M84)/PL!M16)</f>
        <v>0.618364893338977</v>
      </c>
      <c r="N48" s="63" t="n">
        <f aca="false">IF(PL!N16=0,0,(N12+N23+N31+Utilisation!N84)/PL!N16)</f>
        <v>0.653344622322369</v>
      </c>
      <c r="O48" s="63" t="n">
        <f aca="false">IF(PL!O16=0,0,(O12+O23+O31+Utilisation!O84)/PL!O16)</f>
        <v>0.708987724224638</v>
      </c>
      <c r="P48" s="63" t="n">
        <f aca="false">IF(PL!P16=0,0,(P12+P23+P31+Utilisation!P84)/PL!P16)</f>
        <v>0.803853326581631</v>
      </c>
      <c r="Q48" s="63" t="n">
        <f aca="false">IF(PL!Q16=0,0,(Q12+Q23+Q31+Utilisation!Q84)/PL!Q16)</f>
        <v>0.830115838841135</v>
      </c>
      <c r="R48" s="63" t="n">
        <f aca="false">IF(PL!R16=0,0,(R12+R23+R31+Utilisation!R84)/PL!R16)</f>
        <v>0.765672811923324</v>
      </c>
      <c r="S48" s="63" t="n">
        <f aca="false">IF(PL!S16=0,0,(S12+S23+S31+Utilisation!S84)/PL!S16)</f>
        <v>0.715175810134252</v>
      </c>
      <c r="T48" s="63" t="n">
        <f aca="false">IF(PL!T16=0,0,(T12+T23+T31+Utilisation!T84)/PL!T16)</f>
        <v>0.710977019201575</v>
      </c>
      <c r="U48" s="63" t="n">
        <f aca="false">IF(PL!U16=0,0,(U12+U23+U31+Utilisation!U84)/PL!U16)</f>
        <v>0.71289449992632</v>
      </c>
      <c r="V48" s="63" t="n">
        <f aca="false">IF(PL!V16=0,0,(V12+V23+V31+Utilisation!V84)/PL!V16)</f>
        <v>0.735813115756521</v>
      </c>
      <c r="W48" s="63" t="n">
        <f aca="false">IF(PL!W16=0,0,(W12+W23+W31+Utilisation!W84)/PL!W16)</f>
        <v>0.801688318172328</v>
      </c>
      <c r="X48" s="63" t="n">
        <f aca="false">IF(PL!X16=0,0,(X12+X23+X31+Utilisation!X84)/PL!X16)</f>
        <v>0.767489083706475</v>
      </c>
      <c r="Y48" s="63" t="n">
        <f aca="false">IF(PL!Y16=0,0,(Y12+Y23+Y31+Utilisation!Y84)/PL!Y16)</f>
        <v>0.793433242108093</v>
      </c>
      <c r="Z48" s="63" t="n">
        <f aca="false">IF(PL!Z16=0,0,(Z12+Z23+Z31+Utilisation!Z84)/PL!Z16)</f>
        <v>0.761807743262431</v>
      </c>
      <c r="AA48" s="63" t="n">
        <f aca="false">IF(PL!AA16=0,0,(AA12+AA23+AA31+Utilisation!AA84)/PL!AA16)</f>
        <v>0.758846684113107</v>
      </c>
      <c r="AB48" s="63" t="n">
        <f aca="false">IF(PL!AB16=0,0,(AB12+AB23+AB31+Utilisation!AB84)/PL!AB16)</f>
        <v>0.814518921569929</v>
      </c>
    </row>
    <row r="49" customFormat="false" ht="15" hidden="false" customHeight="false" outlineLevel="0" collapsed="false">
      <c r="A49" s="28" t="s">
        <v>304</v>
      </c>
      <c r="B49" s="58" t="s">
        <v>1140</v>
      </c>
      <c r="C49" s="59" t="n">
        <f aca="false">AVERAGE(E49:P49)</f>
        <v>102807.548008493</v>
      </c>
      <c r="D49" s="59" t="n">
        <f aca="false">AVERAGE(Q49:AB49)</f>
        <v>100845.447491028</v>
      </c>
      <c r="E49" s="60" t="n">
        <f aca="false">IF(E28=0,0,PL!E16*12/E28)</f>
        <v>89933.9803000826</v>
      </c>
      <c r="F49" s="60" t="n">
        <f aca="false">IF(F28=0,0,PL!F16*12/F28)</f>
        <v>83202.8979464147</v>
      </c>
      <c r="G49" s="60" t="n">
        <f aca="false">IF(G28=0,0,PL!G16*12/G28)</f>
        <v>88726.960423871</v>
      </c>
      <c r="H49" s="60" t="n">
        <f aca="false">IF(H28=0,0,PL!H16*12/H28)</f>
        <v>94012.2765959199</v>
      </c>
      <c r="I49" s="60" t="n">
        <f aca="false">IF(I28=0,0,PL!I16*12/I28)</f>
        <v>104564.919065545</v>
      </c>
      <c r="J49" s="60" t="n">
        <f aca="false">IF(J28=0,0,PL!J16*12/J28)</f>
        <v>115574.408887604</v>
      </c>
      <c r="K49" s="60" t="n">
        <f aca="false">IF(K28=0,0,PL!K16*12/K28)</f>
        <v>112905.63950969</v>
      </c>
      <c r="L49" s="60" t="n">
        <f aca="false">IF(L28=0,0,PL!L16*12/L28)</f>
        <v>119087.781719531</v>
      </c>
      <c r="M49" s="60" t="n">
        <f aca="false">IF(M28=0,0,PL!M16*12/M28)</f>
        <v>120803.447816049</v>
      </c>
      <c r="N49" s="60" t="n">
        <f aca="false">IF(N28=0,0,PL!N16*12/N28)</f>
        <v>111760.31378425</v>
      </c>
      <c r="O49" s="60" t="n">
        <f aca="false">IF(O28=0,0,PL!O16*12/O28)</f>
        <v>102613.890923941</v>
      </c>
      <c r="P49" s="60" t="n">
        <f aca="false">IF(P28=0,0,PL!P16*12/P28)</f>
        <v>90504.0591290158</v>
      </c>
      <c r="Q49" s="60" t="n">
        <f aca="false">IF(Q28=0,0,PL!Q16*12/Q28)</f>
        <v>91722.6331963898</v>
      </c>
      <c r="R49" s="60" t="n">
        <f aca="false">IF(R28=0,0,PL!R16*12/R28)</f>
        <v>99442.4895475637</v>
      </c>
      <c r="S49" s="60" t="n">
        <f aca="false">IF(S28=0,0,PL!S16*12/S28)</f>
        <v>106362.145254494</v>
      </c>
      <c r="T49" s="60" t="n">
        <f aca="false">IF(T28=0,0,PL!T16*12/T28)</f>
        <v>107749.502179855</v>
      </c>
      <c r="U49" s="60" t="n">
        <f aca="false">IF(U28=0,0,PL!U16*12/U28)</f>
        <v>107459.687076004</v>
      </c>
      <c r="V49" s="60" t="n">
        <f aca="false">IF(V28=0,0,PL!V16*12/V28)</f>
        <v>104112.604464142</v>
      </c>
      <c r="W49" s="60" t="n">
        <f aca="false">IF(W28=0,0,PL!W16*12/W28)</f>
        <v>101364.016100853</v>
      </c>
      <c r="X49" s="60" t="n">
        <f aca="false">IF(X28=0,0,PL!X16*12/X28)</f>
        <v>99815.6475533471</v>
      </c>
      <c r="Y49" s="60" t="n">
        <f aca="false">IF(Y28=0,0,PL!Y16*12/Y28)</f>
        <v>96551.8153445985</v>
      </c>
      <c r="Z49" s="60" t="n">
        <f aca="false">IF(Z28=0,0,PL!Z16*12/Z28)</f>
        <v>100560.043603937</v>
      </c>
      <c r="AA49" s="60" t="n">
        <f aca="false">IF(AA28=0,0,PL!AA16*12/AA28)</f>
        <v>100952.434113645</v>
      </c>
      <c r="AB49" s="60" t="n">
        <f aca="false">IF(AB28=0,0,PL!AB16*12/AB28)</f>
        <v>94052.3514575097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1141</v>
      </c>
    </row>
    <row r="3" customFormat="false" ht="15" hidden="false" customHeight="false" outlineLevel="0" collapsed="false">
      <c r="A3" s="49" t="s">
        <v>1142</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1143</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1144</v>
      </c>
      <c r="B9" s="58" t="s">
        <v>49</v>
      </c>
      <c r="C9" s="59" t="n">
        <f aca="false">SUM(E9:P9)</f>
        <v>2264397.52942053</v>
      </c>
      <c r="D9" s="59" t="n">
        <f aca="false">SUM(Q9:AB9)</f>
        <v>541954.150077969</v>
      </c>
      <c r="E9" s="60" t="n">
        <f aca="false">Retainers!E11*(Assumptions!E$99&lt;=Client_Register!$Q$33)+Retainers!E21*(Assumptions!E$99&lt;=Client_Register!$Q$34)+Retainers!E31*(Assumptions!E$99&lt;=Client_Register!$Q$35)+Retainers!E41*(Assumptions!E$99&lt;=Client_Register!$Q$36)+Retainers!E51*(Assumptions!E$99&lt;=Client_Register!$Q$37)+Retainers!E61*(Assumptions!E$99&lt;=Client_Register!$Q$38)+Retainers!E71*(Assumptions!E$99&lt;=Client_Register!$Q$39)+Retainers!E81*(Assumptions!E$99&lt;=Client_Register!$Q$40)+Retainers!E91*(Assumptions!E$99&lt;=Client_Register!$Q$41)+Retainers!E101*(Assumptions!E$99&lt;=Client_Register!$Q$42)+Retainers!E111*(Assumptions!E$99&lt;=Client_Register!$Q$43)</f>
        <v>166561.248867628</v>
      </c>
      <c r="F9" s="60" t="n">
        <f aca="false">Retainers!F11*(Assumptions!F$99&lt;=Client_Register!$Q$33)+Retainers!F21*(Assumptions!F$99&lt;=Client_Register!$Q$34)+Retainers!F31*(Assumptions!F$99&lt;=Client_Register!$Q$35)+Retainers!F41*(Assumptions!F$99&lt;=Client_Register!$Q$36)+Retainers!F51*(Assumptions!F$99&lt;=Client_Register!$Q$37)+Retainers!F61*(Assumptions!F$99&lt;=Client_Register!$Q$38)+Retainers!F71*(Assumptions!F$99&lt;=Client_Register!$Q$39)+Retainers!F81*(Assumptions!F$99&lt;=Client_Register!$Q$40)+Retainers!F91*(Assumptions!F$99&lt;=Client_Register!$Q$41)+Retainers!F101*(Assumptions!F$99&lt;=Client_Register!$Q$42)+Retainers!F111*(Assumptions!F$99&lt;=Client_Register!$Q$43)</f>
        <v>166356.523501859</v>
      </c>
      <c r="G9" s="60" t="n">
        <f aca="false">Retainers!G11*(Assumptions!G$99&lt;=Client_Register!$Q$33)+Retainers!G21*(Assumptions!G$99&lt;=Client_Register!$Q$34)+Retainers!G31*(Assumptions!G$99&lt;=Client_Register!$Q$35)+Retainers!G41*(Assumptions!G$99&lt;=Client_Register!$Q$36)+Retainers!G51*(Assumptions!G$99&lt;=Client_Register!$Q$37)+Retainers!G61*(Assumptions!G$99&lt;=Client_Register!$Q$38)+Retainers!G71*(Assumptions!G$99&lt;=Client_Register!$Q$39)+Retainers!G81*(Assumptions!G$99&lt;=Client_Register!$Q$40)+Retainers!G91*(Assumptions!G$99&lt;=Client_Register!$Q$41)+Retainers!G101*(Assumptions!G$99&lt;=Client_Register!$Q$42)+Retainers!G111*(Assumptions!G$99&lt;=Client_Register!$Q$43)</f>
        <v>166419.453048656</v>
      </c>
      <c r="H9" s="60" t="n">
        <f aca="false">Retainers!H11*(Assumptions!H$99&lt;=Client_Register!$Q$33)+Retainers!H21*(Assumptions!H$99&lt;=Client_Register!$Q$34)+Retainers!H31*(Assumptions!H$99&lt;=Client_Register!$Q$35)+Retainers!H41*(Assumptions!H$99&lt;=Client_Register!$Q$36)+Retainers!H51*(Assumptions!H$99&lt;=Client_Register!$Q$37)+Retainers!H61*(Assumptions!H$99&lt;=Client_Register!$Q$38)+Retainers!H71*(Assumptions!H$99&lt;=Client_Register!$Q$39)+Retainers!H81*(Assumptions!H$99&lt;=Client_Register!$Q$40)+Retainers!H91*(Assumptions!H$99&lt;=Client_Register!$Q$41)+Retainers!H101*(Assumptions!H$99&lt;=Client_Register!$Q$42)+Retainers!H111*(Assumptions!H$99&lt;=Client_Register!$Q$43)</f>
        <v>189372.816871897</v>
      </c>
      <c r="I9" s="60" t="n">
        <f aca="false">Retainers!I11*(Assumptions!I$99&lt;=Client_Register!$Q$33)+Retainers!I21*(Assumptions!I$99&lt;=Client_Register!$Q$34)+Retainers!I31*(Assumptions!I$99&lt;=Client_Register!$Q$35)+Retainers!I41*(Assumptions!I$99&lt;=Client_Register!$Q$36)+Retainers!I51*(Assumptions!I$99&lt;=Client_Register!$Q$37)+Retainers!I61*(Assumptions!I$99&lt;=Client_Register!$Q$38)+Retainers!I71*(Assumptions!I$99&lt;=Client_Register!$Q$39)+Retainers!I81*(Assumptions!I$99&lt;=Client_Register!$Q$40)+Retainers!I91*(Assumptions!I$99&lt;=Client_Register!$Q$41)+Retainers!I101*(Assumptions!I$99&lt;=Client_Register!$Q$42)+Retainers!I111*(Assumptions!I$99&lt;=Client_Register!$Q$43)</f>
        <v>189228.218401487</v>
      </c>
      <c r="J9" s="60" t="n">
        <f aca="false">Retainers!J11*(Assumptions!J$99&lt;=Client_Register!$Q$33)+Retainers!J21*(Assumptions!J$99&lt;=Client_Register!$Q$34)+Retainers!J31*(Assumptions!J$99&lt;=Client_Register!$Q$35)+Retainers!J41*(Assumptions!J$99&lt;=Client_Register!$Q$36)+Retainers!J51*(Assumptions!J$99&lt;=Client_Register!$Q$37)+Retainers!J61*(Assumptions!J$99&lt;=Client_Register!$Q$38)+Retainers!J71*(Assumptions!J$99&lt;=Client_Register!$Q$39)+Retainers!J81*(Assumptions!J$99&lt;=Client_Register!$Q$40)+Retainers!J91*(Assumptions!J$99&lt;=Client_Register!$Q$41)+Retainers!J101*(Assumptions!J$99&lt;=Client_Register!$Q$42)+Retainers!J111*(Assumptions!J$99&lt;=Client_Register!$Q$43)</f>
        <v>203178.680723191</v>
      </c>
      <c r="K9" s="60" t="n">
        <f aca="false">Retainers!K11*(Assumptions!K$99&lt;=Client_Register!$Q$33)+Retainers!K21*(Assumptions!K$99&lt;=Client_Register!$Q$34)+Retainers!K31*(Assumptions!K$99&lt;=Client_Register!$Q$35)+Retainers!K41*(Assumptions!K$99&lt;=Client_Register!$Q$36)+Retainers!K51*(Assumptions!K$99&lt;=Client_Register!$Q$37)+Retainers!K61*(Assumptions!K$99&lt;=Client_Register!$Q$38)+Retainers!K71*(Assumptions!K$99&lt;=Client_Register!$Q$39)+Retainers!K81*(Assumptions!K$99&lt;=Client_Register!$Q$40)+Retainers!K91*(Assumptions!K$99&lt;=Client_Register!$Q$41)+Retainers!K101*(Assumptions!K$99&lt;=Client_Register!$Q$42)+Retainers!K111*(Assumptions!K$99&lt;=Client_Register!$Q$43)</f>
        <v>204071.873019969</v>
      </c>
      <c r="L9" s="60" t="n">
        <f aca="false">Retainers!L11*(Assumptions!L$99&lt;=Client_Register!$Q$33)+Retainers!L21*(Assumptions!L$99&lt;=Client_Register!$Q$34)+Retainers!L31*(Assumptions!L$99&lt;=Client_Register!$Q$35)+Retainers!L41*(Assumptions!L$99&lt;=Client_Register!$Q$36)+Retainers!L51*(Assumptions!L$99&lt;=Client_Register!$Q$37)+Retainers!L61*(Assumptions!L$99&lt;=Client_Register!$Q$38)+Retainers!L71*(Assumptions!L$99&lt;=Client_Register!$Q$39)+Retainers!L81*(Assumptions!L$99&lt;=Client_Register!$Q$40)+Retainers!L91*(Assumptions!L$99&lt;=Client_Register!$Q$41)+Retainers!L101*(Assumptions!L$99&lt;=Client_Register!$Q$42)+Retainers!L111*(Assumptions!L$99&lt;=Client_Register!$Q$43)</f>
        <v>204099.420516524</v>
      </c>
      <c r="M9" s="60" t="n">
        <f aca="false">Retainers!M11*(Assumptions!M$99&lt;=Client_Register!$Q$33)+Retainers!M21*(Assumptions!M$99&lt;=Client_Register!$Q$34)+Retainers!M31*(Assumptions!M$99&lt;=Client_Register!$Q$35)+Retainers!M41*(Assumptions!M$99&lt;=Client_Register!$Q$36)+Retainers!M51*(Assumptions!M$99&lt;=Client_Register!$Q$37)+Retainers!M61*(Assumptions!M$99&lt;=Client_Register!$Q$38)+Retainers!M71*(Assumptions!M$99&lt;=Client_Register!$Q$39)+Retainers!M81*(Assumptions!M$99&lt;=Client_Register!$Q$40)+Retainers!M91*(Assumptions!M$99&lt;=Client_Register!$Q$41)+Retainers!M101*(Assumptions!M$99&lt;=Client_Register!$Q$42)+Retainers!M111*(Assumptions!M$99&lt;=Client_Register!$Q$43)</f>
        <v>203902.323617329</v>
      </c>
      <c r="N9" s="60" t="n">
        <f aca="false">Retainers!N11*(Assumptions!N$99&lt;=Client_Register!$Q$33)+Retainers!N21*(Assumptions!N$99&lt;=Client_Register!$Q$34)+Retainers!N31*(Assumptions!N$99&lt;=Client_Register!$Q$35)+Retainers!N41*(Assumptions!N$99&lt;=Client_Register!$Q$36)+Retainers!N51*(Assumptions!N$99&lt;=Client_Register!$Q$37)+Retainers!N61*(Assumptions!N$99&lt;=Client_Register!$Q$38)+Retainers!N71*(Assumptions!N$99&lt;=Client_Register!$Q$39)+Retainers!N81*(Assumptions!N$99&lt;=Client_Register!$Q$40)+Retainers!N91*(Assumptions!N$99&lt;=Client_Register!$Q$41)+Retainers!N101*(Assumptions!N$99&lt;=Client_Register!$Q$42)+Retainers!N111*(Assumptions!N$99&lt;=Client_Register!$Q$43)</f>
        <v>190402.323617329</v>
      </c>
      <c r="O9" s="60" t="n">
        <f aca="false">Retainers!O11*(Assumptions!O$99&lt;=Client_Register!$Q$33)+Retainers!O21*(Assumptions!O$99&lt;=Client_Register!$Q$34)+Retainers!O31*(Assumptions!O$99&lt;=Client_Register!$Q$35)+Retainers!O41*(Assumptions!O$99&lt;=Client_Register!$Q$36)+Retainers!O51*(Assumptions!O$99&lt;=Client_Register!$Q$37)+Retainers!O61*(Assumptions!O$99&lt;=Client_Register!$Q$38)+Retainers!O71*(Assumptions!O$99&lt;=Client_Register!$Q$39)+Retainers!O81*(Assumptions!O$99&lt;=Client_Register!$Q$40)+Retainers!O91*(Assumptions!O$99&lt;=Client_Register!$Q$41)+Retainers!O101*(Assumptions!O$99&lt;=Client_Register!$Q$42)+Retainers!O111*(Assumptions!O$99&lt;=Client_Register!$Q$43)</f>
        <v>190402.323617329</v>
      </c>
      <c r="P9" s="60" t="n">
        <f aca="false">Retainers!P11*(Assumptions!P$99&lt;=Client_Register!$Q$33)+Retainers!P21*(Assumptions!P$99&lt;=Client_Register!$Q$34)+Retainers!P31*(Assumptions!P$99&lt;=Client_Register!$Q$35)+Retainers!P41*(Assumptions!P$99&lt;=Client_Register!$Q$36)+Retainers!P51*(Assumptions!P$99&lt;=Client_Register!$Q$37)+Retainers!P61*(Assumptions!P$99&lt;=Client_Register!$Q$38)+Retainers!P71*(Assumptions!P$99&lt;=Client_Register!$Q$39)+Retainers!P81*(Assumptions!P$99&lt;=Client_Register!$Q$40)+Retainers!P91*(Assumptions!P$99&lt;=Client_Register!$Q$41)+Retainers!P101*(Assumptions!P$99&lt;=Client_Register!$Q$42)+Retainers!P111*(Assumptions!P$99&lt;=Client_Register!$Q$43)</f>
        <v>190402.323617329</v>
      </c>
      <c r="Q9" s="60" t="n">
        <f aca="false">Retainers!Q11*(Assumptions!Q$99&lt;=Client_Register!$Q$33)+Retainers!Q21*(Assumptions!Q$99&lt;=Client_Register!$Q$34)+Retainers!Q31*(Assumptions!Q$99&lt;=Client_Register!$Q$35)+Retainers!Q41*(Assumptions!Q$99&lt;=Client_Register!$Q$36)+Retainers!Q51*(Assumptions!Q$99&lt;=Client_Register!$Q$37)+Retainers!Q61*(Assumptions!Q$99&lt;=Client_Register!$Q$38)+Retainers!Q71*(Assumptions!Q$99&lt;=Client_Register!$Q$39)+Retainers!Q81*(Assumptions!Q$99&lt;=Client_Register!$Q$40)+Retainers!Q91*(Assumptions!Q$99&lt;=Client_Register!$Q$41)+Retainers!Q101*(Assumptions!Q$99&lt;=Client_Register!$Q$42)+Retainers!Q111*(Assumptions!Q$99&lt;=Client_Register!$Q$43)</f>
        <v>113864.400957138</v>
      </c>
      <c r="R9" s="60" t="n">
        <f aca="false">Retainers!R11*(Assumptions!R$99&lt;=Client_Register!$Q$33)+Retainers!R21*(Assumptions!R$99&lt;=Client_Register!$Q$34)+Retainers!R31*(Assumptions!R$99&lt;=Client_Register!$Q$35)+Retainers!R41*(Assumptions!R$99&lt;=Client_Register!$Q$36)+Retainers!R51*(Assumptions!R$99&lt;=Client_Register!$Q$37)+Retainers!R61*(Assumptions!R$99&lt;=Client_Register!$Q$38)+Retainers!R71*(Assumptions!R$99&lt;=Client_Register!$Q$39)+Retainers!R81*(Assumptions!R$99&lt;=Client_Register!$Q$40)+Retainers!R91*(Assumptions!R$99&lt;=Client_Register!$Q$41)+Retainers!R101*(Assumptions!R$99&lt;=Client_Register!$Q$42)+Retainers!R111*(Assumptions!R$99&lt;=Client_Register!$Q$43)</f>
        <v>113864.400957138</v>
      </c>
      <c r="S9" s="60" t="n">
        <f aca="false">Retainers!S11*(Assumptions!S$99&lt;=Client_Register!$Q$33)+Retainers!S21*(Assumptions!S$99&lt;=Client_Register!$Q$34)+Retainers!S31*(Assumptions!S$99&lt;=Client_Register!$Q$35)+Retainers!S41*(Assumptions!S$99&lt;=Client_Register!$Q$36)+Retainers!S51*(Assumptions!S$99&lt;=Client_Register!$Q$37)+Retainers!S61*(Assumptions!S$99&lt;=Client_Register!$Q$38)+Retainers!S71*(Assumptions!S$99&lt;=Client_Register!$Q$39)+Retainers!S81*(Assumptions!S$99&lt;=Client_Register!$Q$40)+Retainers!S91*(Assumptions!S$99&lt;=Client_Register!$Q$41)+Retainers!S101*(Assumptions!S$99&lt;=Client_Register!$Q$42)+Retainers!S111*(Assumptions!S$99&lt;=Client_Register!$Q$43)</f>
        <v>99864.400957138</v>
      </c>
      <c r="T9" s="60" t="n">
        <f aca="false">Retainers!T11*(Assumptions!T$99&lt;=Client_Register!$Q$33)+Retainers!T21*(Assumptions!T$99&lt;=Client_Register!$Q$34)+Retainers!T31*(Assumptions!T$99&lt;=Client_Register!$Q$35)+Retainers!T41*(Assumptions!T$99&lt;=Client_Register!$Q$36)+Retainers!T51*(Assumptions!T$99&lt;=Client_Register!$Q$37)+Retainers!T61*(Assumptions!T$99&lt;=Client_Register!$Q$38)+Retainers!T71*(Assumptions!T$99&lt;=Client_Register!$Q$39)+Retainers!T81*(Assumptions!T$99&lt;=Client_Register!$Q$40)+Retainers!T91*(Assumptions!T$99&lt;=Client_Register!$Q$41)+Retainers!T101*(Assumptions!T$99&lt;=Client_Register!$Q$42)+Retainers!T111*(Assumptions!T$99&lt;=Client_Register!$Q$43)</f>
        <v>59929.33248625</v>
      </c>
      <c r="U9" s="60" t="n">
        <f aca="false">Retainers!U11*(Assumptions!U$99&lt;=Client_Register!$Q$33)+Retainers!U21*(Assumptions!U$99&lt;=Client_Register!$Q$34)+Retainers!U31*(Assumptions!U$99&lt;=Client_Register!$Q$35)+Retainers!U41*(Assumptions!U$99&lt;=Client_Register!$Q$36)+Retainers!U51*(Assumptions!U$99&lt;=Client_Register!$Q$37)+Retainers!U61*(Assumptions!U$99&lt;=Client_Register!$Q$38)+Retainers!U71*(Assumptions!U$99&lt;=Client_Register!$Q$39)+Retainers!U81*(Assumptions!U$99&lt;=Client_Register!$Q$40)+Retainers!U91*(Assumptions!U$99&lt;=Client_Register!$Q$41)+Retainers!U101*(Assumptions!U$99&lt;=Client_Register!$Q$42)+Retainers!U111*(Assumptions!U$99&lt;=Client_Register!$Q$43)</f>
        <v>59929.33248625</v>
      </c>
      <c r="V9" s="60" t="n">
        <f aca="false">Retainers!V11*(Assumptions!V$99&lt;=Client_Register!$Q$33)+Retainers!V21*(Assumptions!V$99&lt;=Client_Register!$Q$34)+Retainers!V31*(Assumptions!V$99&lt;=Client_Register!$Q$35)+Retainers!V41*(Assumptions!V$99&lt;=Client_Register!$Q$36)+Retainers!V51*(Assumptions!V$99&lt;=Client_Register!$Q$37)+Retainers!V61*(Assumptions!V$99&lt;=Client_Register!$Q$38)+Retainers!V71*(Assumptions!V$99&lt;=Client_Register!$Q$39)+Retainers!V81*(Assumptions!V$99&lt;=Client_Register!$Q$40)+Retainers!V91*(Assumptions!V$99&lt;=Client_Register!$Q$41)+Retainers!V101*(Assumptions!V$99&lt;=Client_Register!$Q$42)+Retainers!V111*(Assumptions!V$99&lt;=Client_Register!$Q$43)</f>
        <v>46502.282234055</v>
      </c>
      <c r="W9" s="60" t="n">
        <f aca="false">Retainers!W11*(Assumptions!W$99&lt;=Client_Register!$Q$33)+Retainers!W21*(Assumptions!W$99&lt;=Client_Register!$Q$34)+Retainers!W31*(Assumptions!W$99&lt;=Client_Register!$Q$35)+Retainers!W41*(Assumptions!W$99&lt;=Client_Register!$Q$36)+Retainers!W51*(Assumptions!W$99&lt;=Client_Register!$Q$37)+Retainers!W61*(Assumptions!W$99&lt;=Client_Register!$Q$38)+Retainers!W71*(Assumptions!W$99&lt;=Client_Register!$Q$39)+Retainers!W81*(Assumptions!W$99&lt;=Client_Register!$Q$40)+Retainers!W91*(Assumptions!W$99&lt;=Client_Register!$Q$41)+Retainers!W101*(Assumptions!W$99&lt;=Client_Register!$Q$42)+Retainers!W111*(Assumptions!W$99&lt;=Client_Register!$Q$43)</f>
        <v>16000</v>
      </c>
      <c r="X9" s="60" t="n">
        <f aca="false">Retainers!X11*(Assumptions!X$99&lt;=Client_Register!$Q$33)+Retainers!X21*(Assumptions!X$99&lt;=Client_Register!$Q$34)+Retainers!X31*(Assumptions!X$99&lt;=Client_Register!$Q$35)+Retainers!X41*(Assumptions!X$99&lt;=Client_Register!$Q$36)+Retainers!X51*(Assumptions!X$99&lt;=Client_Register!$Q$37)+Retainers!X61*(Assumptions!X$99&lt;=Client_Register!$Q$38)+Retainers!X71*(Assumptions!X$99&lt;=Client_Register!$Q$39)+Retainers!X81*(Assumptions!X$99&lt;=Client_Register!$Q$40)+Retainers!X91*(Assumptions!X$99&lt;=Client_Register!$Q$41)+Retainers!X101*(Assumptions!X$99&lt;=Client_Register!$Q$42)+Retainers!X111*(Assumptions!X$99&lt;=Client_Register!$Q$43)</f>
        <v>16000</v>
      </c>
      <c r="Y9" s="60" t="n">
        <f aca="false">Retainers!Y11*(Assumptions!Y$99&lt;=Client_Register!$Q$33)+Retainers!Y21*(Assumptions!Y$99&lt;=Client_Register!$Q$34)+Retainers!Y31*(Assumptions!Y$99&lt;=Client_Register!$Q$35)+Retainers!Y41*(Assumptions!Y$99&lt;=Client_Register!$Q$36)+Retainers!Y51*(Assumptions!Y$99&lt;=Client_Register!$Q$37)+Retainers!Y61*(Assumptions!Y$99&lt;=Client_Register!$Q$38)+Retainers!Y71*(Assumptions!Y$99&lt;=Client_Register!$Q$39)+Retainers!Y81*(Assumptions!Y$99&lt;=Client_Register!$Q$40)+Retainers!Y91*(Assumptions!Y$99&lt;=Client_Register!$Q$41)+Retainers!Y101*(Assumptions!Y$99&lt;=Client_Register!$Q$42)+Retainers!Y111*(Assumptions!Y$99&lt;=Client_Register!$Q$43)</f>
        <v>16000</v>
      </c>
      <c r="Z9" s="60" t="n">
        <f aca="false">Retainers!Z11*(Assumptions!Z$99&lt;=Client_Register!$Q$33)+Retainers!Z21*(Assumptions!Z$99&lt;=Client_Register!$Q$34)+Retainers!Z31*(Assumptions!Z$99&lt;=Client_Register!$Q$35)+Retainers!Z41*(Assumptions!Z$99&lt;=Client_Register!$Q$36)+Retainers!Z51*(Assumptions!Z$99&lt;=Client_Register!$Q$37)+Retainers!Z61*(Assumptions!Z$99&lt;=Client_Register!$Q$38)+Retainers!Z71*(Assumptions!Z$99&lt;=Client_Register!$Q$39)+Retainers!Z81*(Assumptions!Z$99&lt;=Client_Register!$Q$40)+Retainers!Z91*(Assumptions!Z$99&lt;=Client_Register!$Q$41)+Retainers!Z101*(Assumptions!Z$99&lt;=Client_Register!$Q$42)+Retainers!Z111*(Assumptions!Z$99&lt;=Client_Register!$Q$43)</f>
        <v>0</v>
      </c>
      <c r="AA9" s="60" t="n">
        <f aca="false">Retainers!AA11*(Assumptions!AA$99&lt;=Client_Register!$Q$33)+Retainers!AA21*(Assumptions!AA$99&lt;=Client_Register!$Q$34)+Retainers!AA31*(Assumptions!AA$99&lt;=Client_Register!$Q$35)+Retainers!AA41*(Assumptions!AA$99&lt;=Client_Register!$Q$36)+Retainers!AA51*(Assumptions!AA$99&lt;=Client_Register!$Q$37)+Retainers!AA61*(Assumptions!AA$99&lt;=Client_Register!$Q$38)+Retainers!AA71*(Assumptions!AA$99&lt;=Client_Register!$Q$39)+Retainers!AA81*(Assumptions!AA$99&lt;=Client_Register!$Q$40)+Retainers!AA91*(Assumptions!AA$99&lt;=Client_Register!$Q$41)+Retainers!AA101*(Assumptions!AA$99&lt;=Client_Register!$Q$42)+Retainers!AA111*(Assumptions!AA$99&lt;=Client_Register!$Q$43)</f>
        <v>0</v>
      </c>
      <c r="AB9" s="60" t="n">
        <f aca="false">Retainers!AB11*(Assumptions!AB$99&lt;=Client_Register!$Q$33)+Retainers!AB21*(Assumptions!AB$99&lt;=Client_Register!$Q$34)+Retainers!AB31*(Assumptions!AB$99&lt;=Client_Register!$Q$35)+Retainers!AB41*(Assumptions!AB$99&lt;=Client_Register!$Q$36)+Retainers!AB51*(Assumptions!AB$99&lt;=Client_Register!$Q$37)+Retainers!AB61*(Assumptions!AB$99&lt;=Client_Register!$Q$38)+Retainers!AB71*(Assumptions!AB$99&lt;=Client_Register!$Q$39)+Retainers!AB81*(Assumptions!AB$99&lt;=Client_Register!$Q$40)+Retainers!AB91*(Assumptions!AB$99&lt;=Client_Register!$Q$41)+Retainers!AB101*(Assumptions!AB$99&lt;=Client_Register!$Q$42)+Retainers!AB111*(Assumptions!AB$99&lt;=Client_Register!$Q$43)</f>
        <v>0</v>
      </c>
    </row>
    <row r="10" customFormat="false" ht="15" hidden="false" customHeight="false" outlineLevel="0" collapsed="false">
      <c r="A10" s="28" t="s">
        <v>1145</v>
      </c>
      <c r="B10" s="58" t="s">
        <v>49</v>
      </c>
      <c r="C10" s="59" t="n">
        <f aca="false">SUM(E10:P10)</f>
        <v>0</v>
      </c>
      <c r="D10" s="59" t="n">
        <f aca="false">SUM(Q10:AB10)</f>
        <v>1674433.69558497</v>
      </c>
      <c r="E10" s="60" t="n">
        <f aca="false">Retainers!E11*(Assumptions!E$99&gt;Client_Register!$Q$33)+Retainers!E21*(Assumptions!E$99&gt;Client_Register!$Q$34)+Retainers!E31*(Assumptions!E$99&gt;Client_Register!$Q$35)+Retainers!E41*(Assumptions!E$99&gt;Client_Register!$Q$36)+Retainers!E51*(Assumptions!E$99&gt;Client_Register!$Q$37)+Retainers!E61*(Assumptions!E$99&gt;Client_Register!$Q$38)+Retainers!E71*(Assumptions!E$99&gt;Client_Register!$Q$39)+Retainers!E81*(Assumptions!E$99&gt;Client_Register!$Q$40)+Retainers!E91*(Assumptions!E$99&gt;Client_Register!$Q$41)+Retainers!E101*(Assumptions!E$99&gt;Client_Register!$Q$42)+Retainers!E111*(Assumptions!E$99&gt;Client_Register!$Q$43)</f>
        <v>0</v>
      </c>
      <c r="F10" s="60" t="n">
        <f aca="false">Retainers!F11*(Assumptions!F$99&gt;Client_Register!$Q$33)+Retainers!F21*(Assumptions!F$99&gt;Client_Register!$Q$34)+Retainers!F31*(Assumptions!F$99&gt;Client_Register!$Q$35)+Retainers!F41*(Assumptions!F$99&gt;Client_Register!$Q$36)+Retainers!F51*(Assumptions!F$99&gt;Client_Register!$Q$37)+Retainers!F61*(Assumptions!F$99&gt;Client_Register!$Q$38)+Retainers!F71*(Assumptions!F$99&gt;Client_Register!$Q$39)+Retainers!F81*(Assumptions!F$99&gt;Client_Register!$Q$40)+Retainers!F91*(Assumptions!F$99&gt;Client_Register!$Q$41)+Retainers!F101*(Assumptions!F$99&gt;Client_Register!$Q$42)+Retainers!F111*(Assumptions!F$99&gt;Client_Register!$Q$43)</f>
        <v>0</v>
      </c>
      <c r="G10" s="60" t="n">
        <f aca="false">Retainers!G11*(Assumptions!G$99&gt;Client_Register!$Q$33)+Retainers!G21*(Assumptions!G$99&gt;Client_Register!$Q$34)+Retainers!G31*(Assumptions!G$99&gt;Client_Register!$Q$35)+Retainers!G41*(Assumptions!G$99&gt;Client_Register!$Q$36)+Retainers!G51*(Assumptions!G$99&gt;Client_Register!$Q$37)+Retainers!G61*(Assumptions!G$99&gt;Client_Register!$Q$38)+Retainers!G71*(Assumptions!G$99&gt;Client_Register!$Q$39)+Retainers!G81*(Assumptions!G$99&gt;Client_Register!$Q$40)+Retainers!G91*(Assumptions!G$99&gt;Client_Register!$Q$41)+Retainers!G101*(Assumptions!G$99&gt;Client_Register!$Q$42)+Retainers!G111*(Assumptions!G$99&gt;Client_Register!$Q$43)</f>
        <v>0</v>
      </c>
      <c r="H10" s="60" t="n">
        <f aca="false">Retainers!H11*(Assumptions!H$99&gt;Client_Register!$Q$33)+Retainers!H21*(Assumptions!H$99&gt;Client_Register!$Q$34)+Retainers!H31*(Assumptions!H$99&gt;Client_Register!$Q$35)+Retainers!H41*(Assumptions!H$99&gt;Client_Register!$Q$36)+Retainers!H51*(Assumptions!H$99&gt;Client_Register!$Q$37)+Retainers!H61*(Assumptions!H$99&gt;Client_Register!$Q$38)+Retainers!H71*(Assumptions!H$99&gt;Client_Register!$Q$39)+Retainers!H81*(Assumptions!H$99&gt;Client_Register!$Q$40)+Retainers!H91*(Assumptions!H$99&gt;Client_Register!$Q$41)+Retainers!H101*(Assumptions!H$99&gt;Client_Register!$Q$42)+Retainers!H111*(Assumptions!H$99&gt;Client_Register!$Q$43)</f>
        <v>0</v>
      </c>
      <c r="I10" s="60" t="n">
        <f aca="false">Retainers!I11*(Assumptions!I$99&gt;Client_Register!$Q$33)+Retainers!I21*(Assumptions!I$99&gt;Client_Register!$Q$34)+Retainers!I31*(Assumptions!I$99&gt;Client_Register!$Q$35)+Retainers!I41*(Assumptions!I$99&gt;Client_Register!$Q$36)+Retainers!I51*(Assumptions!I$99&gt;Client_Register!$Q$37)+Retainers!I61*(Assumptions!I$99&gt;Client_Register!$Q$38)+Retainers!I71*(Assumptions!I$99&gt;Client_Register!$Q$39)+Retainers!I81*(Assumptions!I$99&gt;Client_Register!$Q$40)+Retainers!I91*(Assumptions!I$99&gt;Client_Register!$Q$41)+Retainers!I101*(Assumptions!I$99&gt;Client_Register!$Q$42)+Retainers!I111*(Assumptions!I$99&gt;Client_Register!$Q$43)</f>
        <v>0</v>
      </c>
      <c r="J10" s="60" t="n">
        <f aca="false">Retainers!J11*(Assumptions!J$99&gt;Client_Register!$Q$33)+Retainers!J21*(Assumptions!J$99&gt;Client_Register!$Q$34)+Retainers!J31*(Assumptions!J$99&gt;Client_Register!$Q$35)+Retainers!J41*(Assumptions!J$99&gt;Client_Register!$Q$36)+Retainers!J51*(Assumptions!J$99&gt;Client_Register!$Q$37)+Retainers!J61*(Assumptions!J$99&gt;Client_Register!$Q$38)+Retainers!J71*(Assumptions!J$99&gt;Client_Register!$Q$39)+Retainers!J81*(Assumptions!J$99&gt;Client_Register!$Q$40)+Retainers!J91*(Assumptions!J$99&gt;Client_Register!$Q$41)+Retainers!J101*(Assumptions!J$99&gt;Client_Register!$Q$42)+Retainers!J111*(Assumptions!J$99&gt;Client_Register!$Q$43)</f>
        <v>0</v>
      </c>
      <c r="K10" s="60" t="n">
        <f aca="false">Retainers!K11*(Assumptions!K$99&gt;Client_Register!$Q$33)+Retainers!K21*(Assumptions!K$99&gt;Client_Register!$Q$34)+Retainers!K31*(Assumptions!K$99&gt;Client_Register!$Q$35)+Retainers!K41*(Assumptions!K$99&gt;Client_Register!$Q$36)+Retainers!K51*(Assumptions!K$99&gt;Client_Register!$Q$37)+Retainers!K61*(Assumptions!K$99&gt;Client_Register!$Q$38)+Retainers!K71*(Assumptions!K$99&gt;Client_Register!$Q$39)+Retainers!K81*(Assumptions!K$99&gt;Client_Register!$Q$40)+Retainers!K91*(Assumptions!K$99&gt;Client_Register!$Q$41)+Retainers!K101*(Assumptions!K$99&gt;Client_Register!$Q$42)+Retainers!K111*(Assumptions!K$99&gt;Client_Register!$Q$43)</f>
        <v>0</v>
      </c>
      <c r="L10" s="60" t="n">
        <f aca="false">Retainers!L11*(Assumptions!L$99&gt;Client_Register!$Q$33)+Retainers!L21*(Assumptions!L$99&gt;Client_Register!$Q$34)+Retainers!L31*(Assumptions!L$99&gt;Client_Register!$Q$35)+Retainers!L41*(Assumptions!L$99&gt;Client_Register!$Q$36)+Retainers!L51*(Assumptions!L$99&gt;Client_Register!$Q$37)+Retainers!L61*(Assumptions!L$99&gt;Client_Register!$Q$38)+Retainers!L71*(Assumptions!L$99&gt;Client_Register!$Q$39)+Retainers!L81*(Assumptions!L$99&gt;Client_Register!$Q$40)+Retainers!L91*(Assumptions!L$99&gt;Client_Register!$Q$41)+Retainers!L101*(Assumptions!L$99&gt;Client_Register!$Q$42)+Retainers!L111*(Assumptions!L$99&gt;Client_Register!$Q$43)</f>
        <v>0</v>
      </c>
      <c r="M10" s="60" t="n">
        <f aca="false">Retainers!M11*(Assumptions!M$99&gt;Client_Register!$Q$33)+Retainers!M21*(Assumptions!M$99&gt;Client_Register!$Q$34)+Retainers!M31*(Assumptions!M$99&gt;Client_Register!$Q$35)+Retainers!M41*(Assumptions!M$99&gt;Client_Register!$Q$36)+Retainers!M51*(Assumptions!M$99&gt;Client_Register!$Q$37)+Retainers!M61*(Assumptions!M$99&gt;Client_Register!$Q$38)+Retainers!M71*(Assumptions!M$99&gt;Client_Register!$Q$39)+Retainers!M81*(Assumptions!M$99&gt;Client_Register!$Q$40)+Retainers!M91*(Assumptions!M$99&gt;Client_Register!$Q$41)+Retainers!M101*(Assumptions!M$99&gt;Client_Register!$Q$42)+Retainers!M111*(Assumptions!M$99&gt;Client_Register!$Q$43)</f>
        <v>0</v>
      </c>
      <c r="N10" s="60" t="n">
        <f aca="false">Retainers!N11*(Assumptions!N$99&gt;Client_Register!$Q$33)+Retainers!N21*(Assumptions!N$99&gt;Client_Register!$Q$34)+Retainers!N31*(Assumptions!N$99&gt;Client_Register!$Q$35)+Retainers!N41*(Assumptions!N$99&gt;Client_Register!$Q$36)+Retainers!N51*(Assumptions!N$99&gt;Client_Register!$Q$37)+Retainers!N61*(Assumptions!N$99&gt;Client_Register!$Q$38)+Retainers!N71*(Assumptions!N$99&gt;Client_Register!$Q$39)+Retainers!N81*(Assumptions!N$99&gt;Client_Register!$Q$40)+Retainers!N91*(Assumptions!N$99&gt;Client_Register!$Q$41)+Retainers!N101*(Assumptions!N$99&gt;Client_Register!$Q$42)+Retainers!N111*(Assumptions!N$99&gt;Client_Register!$Q$43)</f>
        <v>0</v>
      </c>
      <c r="O10" s="60" t="n">
        <f aca="false">Retainers!O11*(Assumptions!O$99&gt;Client_Register!$Q$33)+Retainers!O21*(Assumptions!O$99&gt;Client_Register!$Q$34)+Retainers!O31*(Assumptions!O$99&gt;Client_Register!$Q$35)+Retainers!O41*(Assumptions!O$99&gt;Client_Register!$Q$36)+Retainers!O51*(Assumptions!O$99&gt;Client_Register!$Q$37)+Retainers!O61*(Assumptions!O$99&gt;Client_Register!$Q$38)+Retainers!O71*(Assumptions!O$99&gt;Client_Register!$Q$39)+Retainers!O81*(Assumptions!O$99&gt;Client_Register!$Q$40)+Retainers!O91*(Assumptions!O$99&gt;Client_Register!$Q$41)+Retainers!O101*(Assumptions!O$99&gt;Client_Register!$Q$42)+Retainers!O111*(Assumptions!O$99&gt;Client_Register!$Q$43)</f>
        <v>0</v>
      </c>
      <c r="P10" s="60" t="n">
        <f aca="false">Retainers!P11*(Assumptions!P$99&gt;Client_Register!$Q$33)+Retainers!P21*(Assumptions!P$99&gt;Client_Register!$Q$34)+Retainers!P31*(Assumptions!P$99&gt;Client_Register!$Q$35)+Retainers!P41*(Assumptions!P$99&gt;Client_Register!$Q$36)+Retainers!P51*(Assumptions!P$99&gt;Client_Register!$Q$37)+Retainers!P61*(Assumptions!P$99&gt;Client_Register!$Q$38)+Retainers!P71*(Assumptions!P$99&gt;Client_Register!$Q$39)+Retainers!P81*(Assumptions!P$99&gt;Client_Register!$Q$40)+Retainers!P91*(Assumptions!P$99&gt;Client_Register!$Q$41)+Retainers!P101*(Assumptions!P$99&gt;Client_Register!$Q$42)+Retainers!P111*(Assumptions!P$99&gt;Client_Register!$Q$43)</f>
        <v>0</v>
      </c>
      <c r="Q10" s="60" t="n">
        <f aca="false">Retainers!Q11*(Assumptions!Q$99&gt;Client_Register!$Q$33)+Retainers!Q21*(Assumptions!Q$99&gt;Client_Register!$Q$34)+Retainers!Q31*(Assumptions!Q$99&gt;Client_Register!$Q$35)+Retainers!Q41*(Assumptions!Q$99&gt;Client_Register!$Q$36)+Retainers!Q51*(Assumptions!Q$99&gt;Client_Register!$Q$37)+Retainers!Q61*(Assumptions!Q$99&gt;Client_Register!$Q$38)+Retainers!Q71*(Assumptions!Q$99&gt;Client_Register!$Q$39)+Retainers!Q81*(Assumptions!Q$99&gt;Client_Register!$Q$40)+Retainers!Q91*(Assumptions!Q$99&gt;Client_Register!$Q$41)+Retainers!Q101*(Assumptions!Q$99&gt;Client_Register!$Q$42)+Retainers!Q111*(Assumptions!Q$99&gt;Client_Register!$Q$43)</f>
        <v>76245.4395665982</v>
      </c>
      <c r="R10" s="60" t="n">
        <f aca="false">Retainers!R11*(Assumptions!R$99&gt;Client_Register!$Q$33)+Retainers!R21*(Assumptions!R$99&gt;Client_Register!$Q$34)+Retainers!R31*(Assumptions!R$99&gt;Client_Register!$Q$35)+Retainers!R41*(Assumptions!R$99&gt;Client_Register!$Q$36)+Retainers!R51*(Assumptions!R$99&gt;Client_Register!$Q$37)+Retainers!R61*(Assumptions!R$99&gt;Client_Register!$Q$38)+Retainers!R71*(Assumptions!R$99&gt;Client_Register!$Q$39)+Retainers!R81*(Assumptions!R$99&gt;Client_Register!$Q$40)+Retainers!R91*(Assumptions!R$99&gt;Client_Register!$Q$41)+Retainers!R101*(Assumptions!R$99&gt;Client_Register!$Q$42)+Retainers!R111*(Assumptions!R$99&gt;Client_Register!$Q$43)</f>
        <v>76245.4395665982</v>
      </c>
      <c r="S10" s="60" t="n">
        <f aca="false">Retainers!S11*(Assumptions!S$99&gt;Client_Register!$Q$33)+Retainers!S21*(Assumptions!S$99&gt;Client_Register!$Q$34)+Retainers!S31*(Assumptions!S$99&gt;Client_Register!$Q$35)+Retainers!S41*(Assumptions!S$99&gt;Client_Register!$Q$36)+Retainers!S51*(Assumptions!S$99&gt;Client_Register!$Q$37)+Retainers!S61*(Assumptions!S$99&gt;Client_Register!$Q$38)+Retainers!S71*(Assumptions!S$99&gt;Client_Register!$Q$39)+Retainers!S81*(Assumptions!S$99&gt;Client_Register!$Q$40)+Retainers!S91*(Assumptions!S$99&gt;Client_Register!$Q$41)+Retainers!S101*(Assumptions!S$99&gt;Client_Register!$Q$42)+Retainers!S111*(Assumptions!S$99&gt;Client_Register!$Q$43)</f>
        <v>88621.4395665982</v>
      </c>
      <c r="T10" s="60" t="n">
        <f aca="false">Retainers!T11*(Assumptions!T$99&gt;Client_Register!$Q$33)+Retainers!T21*(Assumptions!T$99&gt;Client_Register!$Q$34)+Retainers!T31*(Assumptions!T$99&gt;Client_Register!$Q$35)+Retainers!T41*(Assumptions!T$99&gt;Client_Register!$Q$36)+Retainers!T51*(Assumptions!T$99&gt;Client_Register!$Q$37)+Retainers!T61*(Assumptions!T$99&gt;Client_Register!$Q$38)+Retainers!T71*(Assumptions!T$99&gt;Client_Register!$Q$39)+Retainers!T81*(Assumptions!T$99&gt;Client_Register!$Q$40)+Retainers!T91*(Assumptions!T$99&gt;Client_Register!$Q$41)+Retainers!T101*(Assumptions!T$99&gt;Client_Register!$Q$42)+Retainers!T111*(Assumptions!T$99&gt;Client_Register!$Q$43)</f>
        <v>126000.663655349</v>
      </c>
      <c r="U10" s="60" t="n">
        <f aca="false">Retainers!U11*(Assumptions!U$99&gt;Client_Register!$Q$33)+Retainers!U21*(Assumptions!U$99&gt;Client_Register!$Q$34)+Retainers!U31*(Assumptions!U$99&gt;Client_Register!$Q$35)+Retainers!U41*(Assumptions!U$99&gt;Client_Register!$Q$36)+Retainers!U51*(Assumptions!U$99&gt;Client_Register!$Q$37)+Retainers!U61*(Assumptions!U$99&gt;Client_Register!$Q$38)+Retainers!U71*(Assumptions!U$99&gt;Client_Register!$Q$39)+Retainers!U81*(Assumptions!U$99&gt;Client_Register!$Q$40)+Retainers!U91*(Assumptions!U$99&gt;Client_Register!$Q$41)+Retainers!U101*(Assumptions!U$99&gt;Client_Register!$Q$42)+Retainers!U111*(Assumptions!U$99&gt;Client_Register!$Q$43)</f>
        <v>126000.663655349</v>
      </c>
      <c r="V10" s="60" t="n">
        <f aca="false">Retainers!V11*(Assumptions!V$99&gt;Client_Register!$Q$33)+Retainers!V21*(Assumptions!V$99&gt;Client_Register!$Q$34)+Retainers!V31*(Assumptions!V$99&gt;Client_Register!$Q$35)+Retainers!V41*(Assumptions!V$99&gt;Client_Register!$Q$36)+Retainers!V51*(Assumptions!V$99&gt;Client_Register!$Q$37)+Retainers!V61*(Assumptions!V$99&gt;Client_Register!$Q$38)+Retainers!V71*(Assumptions!V$99&gt;Client_Register!$Q$39)+Retainers!V81*(Assumptions!V$99&gt;Client_Register!$Q$40)+Retainers!V91*(Assumptions!V$99&gt;Client_Register!$Q$41)+Retainers!V101*(Assumptions!V$99&gt;Client_Register!$Q$42)+Retainers!V111*(Assumptions!V$99&gt;Client_Register!$Q$43)</f>
        <v>137870.17607829</v>
      </c>
      <c r="W10" s="60" t="n">
        <f aca="false">Retainers!W11*(Assumptions!W$99&gt;Client_Register!$Q$33)+Retainers!W21*(Assumptions!W$99&gt;Client_Register!$Q$34)+Retainers!W31*(Assumptions!W$99&gt;Client_Register!$Q$35)+Retainers!W41*(Assumptions!W$99&gt;Client_Register!$Q$36)+Retainers!W51*(Assumptions!W$99&gt;Client_Register!$Q$37)+Retainers!W61*(Assumptions!W$99&gt;Client_Register!$Q$38)+Retainers!W71*(Assumptions!W$99&gt;Client_Register!$Q$39)+Retainers!W81*(Assumptions!W$99&gt;Client_Register!$Q$40)+Retainers!W91*(Assumptions!W$99&gt;Client_Register!$Q$41)+Retainers!W101*(Assumptions!W$99&gt;Client_Register!$Q$42)+Retainers!W111*(Assumptions!W$99&gt;Client_Register!$Q$43)</f>
        <v>166420.312249365</v>
      </c>
      <c r="X10" s="60" t="n">
        <f aca="false">Retainers!X11*(Assumptions!X$99&gt;Client_Register!$Q$33)+Retainers!X21*(Assumptions!X$99&gt;Client_Register!$Q$34)+Retainers!X31*(Assumptions!X$99&gt;Client_Register!$Q$35)+Retainers!X41*(Assumptions!X$99&gt;Client_Register!$Q$36)+Retainers!X51*(Assumptions!X$99&gt;Client_Register!$Q$37)+Retainers!X61*(Assumptions!X$99&gt;Client_Register!$Q$38)+Retainers!X71*(Assumptions!X$99&gt;Client_Register!$Q$39)+Retainers!X81*(Assumptions!X$99&gt;Client_Register!$Q$40)+Retainers!X91*(Assumptions!X$99&gt;Client_Register!$Q$41)+Retainers!X101*(Assumptions!X$99&gt;Client_Register!$Q$42)+Retainers!X111*(Assumptions!X$99&gt;Client_Register!$Q$43)</f>
        <v>166420.312249365</v>
      </c>
      <c r="Y10" s="60" t="n">
        <f aca="false">Retainers!Y11*(Assumptions!Y$99&gt;Client_Register!$Q$33)+Retainers!Y21*(Assumptions!Y$99&gt;Client_Register!$Q$34)+Retainers!Y31*(Assumptions!Y$99&gt;Client_Register!$Q$35)+Retainers!Y41*(Assumptions!Y$99&gt;Client_Register!$Q$36)+Retainers!Y51*(Assumptions!Y$99&gt;Client_Register!$Q$37)+Retainers!Y61*(Assumptions!Y$99&gt;Client_Register!$Q$38)+Retainers!Y71*(Assumptions!Y$99&gt;Client_Register!$Q$39)+Retainers!Y81*(Assumptions!Y$99&gt;Client_Register!$Q$40)+Retainers!Y91*(Assumptions!Y$99&gt;Client_Register!$Q$41)+Retainers!Y101*(Assumptions!Y$99&gt;Client_Register!$Q$42)+Retainers!Y111*(Assumptions!Y$99&gt;Client_Register!$Q$43)</f>
        <v>166420.312249365</v>
      </c>
      <c r="Z10" s="60" t="n">
        <f aca="false">Retainers!Z11*(Assumptions!Z$99&gt;Client_Register!$Q$33)+Retainers!Z21*(Assumptions!Z$99&gt;Client_Register!$Q$34)+Retainers!Z31*(Assumptions!Z$99&gt;Client_Register!$Q$35)+Retainers!Z41*(Assumptions!Z$99&gt;Client_Register!$Q$36)+Retainers!Z51*(Assumptions!Z$99&gt;Client_Register!$Q$37)+Retainers!Z61*(Assumptions!Z$99&gt;Client_Register!$Q$38)+Retainers!Z71*(Assumptions!Z$99&gt;Client_Register!$Q$39)+Retainers!Z81*(Assumptions!Z$99&gt;Client_Register!$Q$40)+Retainers!Z91*(Assumptions!Z$99&gt;Client_Register!$Q$41)+Retainers!Z101*(Assumptions!Z$99&gt;Client_Register!$Q$42)+Retainers!Z111*(Assumptions!Z$99&gt;Client_Register!$Q$43)</f>
        <v>181396.312249365</v>
      </c>
      <c r="AA10" s="60" t="n">
        <f aca="false">Retainers!AA11*(Assumptions!AA$99&gt;Client_Register!$Q$33)+Retainers!AA21*(Assumptions!AA$99&gt;Client_Register!$Q$34)+Retainers!AA31*(Assumptions!AA$99&gt;Client_Register!$Q$35)+Retainers!AA41*(Assumptions!AA$99&gt;Client_Register!$Q$36)+Retainers!AA51*(Assumptions!AA$99&gt;Client_Register!$Q$37)+Retainers!AA61*(Assumptions!AA$99&gt;Client_Register!$Q$38)+Retainers!AA71*(Assumptions!AA$99&gt;Client_Register!$Q$39)+Retainers!AA81*(Assumptions!AA$99&gt;Client_Register!$Q$40)+Retainers!AA91*(Assumptions!AA$99&gt;Client_Register!$Q$41)+Retainers!AA101*(Assumptions!AA$99&gt;Client_Register!$Q$42)+Retainers!AA111*(Assumptions!AA$99&gt;Client_Register!$Q$43)</f>
        <v>181396.312249365</v>
      </c>
      <c r="AB10" s="60" t="n">
        <f aca="false">Retainers!AB11*(Assumptions!AB$99&gt;Client_Register!$Q$33)+Retainers!AB21*(Assumptions!AB$99&gt;Client_Register!$Q$34)+Retainers!AB31*(Assumptions!AB$99&gt;Client_Register!$Q$35)+Retainers!AB41*(Assumptions!AB$99&gt;Client_Register!$Q$36)+Retainers!AB51*(Assumptions!AB$99&gt;Client_Register!$Q$37)+Retainers!AB61*(Assumptions!AB$99&gt;Client_Register!$Q$38)+Retainers!AB71*(Assumptions!AB$99&gt;Client_Register!$Q$39)+Retainers!AB81*(Assumptions!AB$99&gt;Client_Register!$Q$40)+Retainers!AB91*(Assumptions!AB$99&gt;Client_Register!$Q$41)+Retainers!AB101*(Assumptions!AB$99&gt;Client_Register!$Q$42)+Retainers!AB111*(Assumptions!AB$99&gt;Client_Register!$Q$43)</f>
        <v>181396.312249365</v>
      </c>
    </row>
    <row r="11" customFormat="false" ht="15" hidden="false" customHeight="false" outlineLevel="0" collapsed="false">
      <c r="A11" s="28" t="s">
        <v>1146</v>
      </c>
      <c r="B11" s="58" t="s">
        <v>49</v>
      </c>
      <c r="C11" s="59" t="n">
        <f aca="false">SUM(E11:P11)</f>
        <v>0</v>
      </c>
      <c r="D11" s="59" t="n">
        <f aca="false">SUM(Q11:AB11)</f>
        <v>208695.087898215</v>
      </c>
      <c r="E11" s="60" t="n">
        <f aca="false">Retainers!E170</f>
        <v>0</v>
      </c>
      <c r="F11" s="60" t="n">
        <f aca="false">Retainers!F170</f>
        <v>0</v>
      </c>
      <c r="G11" s="60" t="n">
        <f aca="false">Retainers!G170</f>
        <v>0</v>
      </c>
      <c r="H11" s="60" t="n">
        <f aca="false">Retainers!H170</f>
        <v>0</v>
      </c>
      <c r="I11" s="60" t="n">
        <f aca="false">Retainers!I170</f>
        <v>0</v>
      </c>
      <c r="J11" s="60" t="n">
        <f aca="false">Retainers!J170</f>
        <v>0</v>
      </c>
      <c r="K11" s="60" t="n">
        <f aca="false">Retainers!K170</f>
        <v>0</v>
      </c>
      <c r="L11" s="60" t="n">
        <f aca="false">Retainers!L170</f>
        <v>0</v>
      </c>
      <c r="M11" s="60" t="n">
        <f aca="false">Retainers!M170</f>
        <v>0</v>
      </c>
      <c r="N11" s="60" t="n">
        <f aca="false">Retainers!N170</f>
        <v>0</v>
      </c>
      <c r="O11" s="60" t="n">
        <f aca="false">Retainers!O170</f>
        <v>0</v>
      </c>
      <c r="P11" s="60" t="n">
        <f aca="false">Retainers!P170</f>
        <v>0</v>
      </c>
      <c r="Q11" s="60" t="n">
        <f aca="false">Retainers!Q170</f>
        <v>5820.97274922387</v>
      </c>
      <c r="R11" s="60" t="n">
        <f aca="false">Retainers!R170</f>
        <v>5820.97274922387</v>
      </c>
      <c r="S11" s="60" t="n">
        <f aca="false">Retainers!S170</f>
        <v>10024.2232629545</v>
      </c>
      <c r="T11" s="60" t="n">
        <f aca="false">Retainers!T170</f>
        <v>14424.2232629545</v>
      </c>
      <c r="U11" s="60" t="n">
        <f aca="false">Retainers!U170</f>
        <v>14424.2232629545</v>
      </c>
      <c r="V11" s="60" t="n">
        <f aca="false">Retainers!V170</f>
        <v>22597.2103729862</v>
      </c>
      <c r="W11" s="60" t="n">
        <f aca="false">Retainers!W170</f>
        <v>22597.2103729862</v>
      </c>
      <c r="X11" s="60" t="n">
        <f aca="false">Retainers!X170</f>
        <v>22597.2103729862</v>
      </c>
      <c r="Y11" s="60" t="n">
        <f aca="false">Retainers!Y170</f>
        <v>22597.2103729862</v>
      </c>
      <c r="Z11" s="60" t="n">
        <f aca="false">Retainers!Z170</f>
        <v>22597.2103729862</v>
      </c>
      <c r="AA11" s="60" t="n">
        <f aca="false">Retainers!AA170</f>
        <v>22597.2103729862</v>
      </c>
      <c r="AB11" s="60" t="n">
        <f aca="false">Retainers!AB170</f>
        <v>22597.2103729862</v>
      </c>
    </row>
    <row r="12" customFormat="false" ht="15" hidden="false" customHeight="false" outlineLevel="0" collapsed="false">
      <c r="A12" s="28" t="s">
        <v>1147</v>
      </c>
      <c r="B12" s="58" t="s">
        <v>51</v>
      </c>
      <c r="C12" s="59" t="n">
        <f aca="false">SUM(E12:P12)</f>
        <v>867556.612802161</v>
      </c>
      <c r="D12" s="59" t="n">
        <f aca="false">SUM(Q12:AB12)</f>
        <v>0</v>
      </c>
      <c r="E12" s="60" t="n">
        <f aca="false">Projects!E18/1+Projects!E36/FX!E9+Projects!E54/FX!E9+Projects!E72/FX!E11+Projects!E90/FX!E9+Projects!E108/1+Projects!E126/FX!E9+Projects!E146/FX!E9+Projects!E164/FX!E11</f>
        <v>65395.6810282954</v>
      </c>
      <c r="F12" s="60" t="n">
        <f aca="false">Projects!F18/1+Projects!F36/FX!F9+Projects!F54/FX!F9+Projects!F72/FX!F11+Projects!F90/FX!F9+Projects!F108/1+Projects!F126/FX!F9+Projects!F146/FX!F9+Projects!F164/FX!F11</f>
        <v>48189.0689359823</v>
      </c>
      <c r="G12" s="60" t="n">
        <f aca="false">Projects!G18/1+Projects!G36/FX!G9+Projects!G54/FX!G9+Projects!G72/FX!G11+Projects!G90/FX!G9+Projects!G108/1+Projects!G126/FX!G9+Projects!G146/FX!G9+Projects!G164/FX!G11</f>
        <v>52798.0914178011</v>
      </c>
      <c r="H12" s="60" t="n">
        <f aca="false">Projects!H18/1+Projects!H36/FX!H9+Projects!H54/FX!H9+Projects!H72/FX!H11+Projects!H90/FX!H9+Projects!H108/1+Projects!H126/FX!H9+Projects!H146/FX!H9+Projects!H164/FX!H11</f>
        <v>55499.693047527</v>
      </c>
      <c r="I12" s="60" t="n">
        <f aca="false">Projects!I18/1+Projects!I36/FX!I9+Projects!I54/FX!I9+Projects!I72/FX!I11+Projects!I90/FX!I9+Projects!I108/1+Projects!I126/FX!I9+Projects!I146/FX!I9+Projects!I164/FX!I11</f>
        <v>72634.8355769181</v>
      </c>
      <c r="J12" s="60" t="n">
        <f aca="false">Projects!J18/1+Projects!J36/FX!J9+Projects!J54/FX!J9+Projects!J72/FX!J11+Projects!J90/FX!J9+Projects!J108/1+Projects!J126/FX!J9+Projects!J146/FX!J9+Projects!J164/FX!J11</f>
        <v>92439.7807570272</v>
      </c>
      <c r="K12" s="60" t="n">
        <f aca="false">Projects!K18/1+Projects!K36/FX!K9+Projects!K54/FX!K9+Projects!K72/FX!K11+Projects!K90/FX!K9+Projects!K108/1+Projects!K126/FX!K9+Projects!K146/FX!K9+Projects!K164/FX!K11</f>
        <v>102218.25228808</v>
      </c>
      <c r="L12" s="60" t="n">
        <f aca="false">Projects!L18/1+Projects!L36/FX!L9+Projects!L54/FX!L9+Projects!L72/FX!L11+Projects!L90/FX!L9+Projects!L108/1+Projects!L126/FX!L9+Projects!L146/FX!L9+Projects!L164/FX!L11</f>
        <v>110529.650012757</v>
      </c>
      <c r="M12" s="60" t="n">
        <f aca="false">Projects!M18/1+Projects!M36/FX!M9+Projects!M54/FX!M9+Projects!M72/FX!M11+Projects!M90/FX!M9+Projects!M108/1+Projects!M126/FX!M9+Projects!M146/FX!M9+Projects!M164/FX!M11</f>
        <v>112632.340644591</v>
      </c>
      <c r="N12" s="60" t="n">
        <f aca="false">Projects!N18/1+Projects!N36/FX!N9+Projects!N54/FX!N9+Projects!N72/FX!N11+Projects!N90/FX!N9+Projects!N108/1+Projects!N126/FX!N9+Projects!N146/FX!N9+Projects!N164/FX!N11</f>
        <v>88239.0776070448</v>
      </c>
      <c r="O12" s="60" t="n">
        <f aca="false">Projects!O18/1+Projects!O36/FX!O9+Projects!O54/FX!O9+Projects!O72/FX!O11+Projects!O90/FX!O9+Projects!O108/1+Projects!O126/FX!O9+Projects!O146/FX!O9+Projects!O164/FX!O11</f>
        <v>50810.7727382931</v>
      </c>
      <c r="P12" s="60" t="n">
        <f aca="false">Projects!P18/1+Projects!P36/FX!P9+Projects!P54/FX!P9+Projects!P72/FX!P11+Projects!P90/FX!P9+Projects!P108/1+Projects!P126/FX!P9+Projects!P146/FX!P9+Projects!P164/FX!P11</f>
        <v>16169.3687478441</v>
      </c>
      <c r="Q12" s="60" t="n">
        <f aca="false">Projects!Q18/1+Projects!Q36/FX!Q9+Projects!Q54/FX!Q9+Projects!Q72/FX!Q11+Projects!Q90/FX!Q9+Projects!Q108/1+Projects!Q126/FX!Q9+Projects!Q146/FX!Q9+Projects!Q164/FX!Q11</f>
        <v>0</v>
      </c>
      <c r="R12" s="60" t="n">
        <f aca="false">Projects!R18/1+Projects!R36/FX!R9+Projects!R54/FX!R9+Projects!R72/FX!R11+Projects!R90/FX!R9+Projects!R108/1+Projects!R126/FX!R9+Projects!R146/FX!R9+Projects!R164/FX!R11</f>
        <v>0</v>
      </c>
      <c r="S12" s="60" t="n">
        <f aca="false">Projects!S18/1+Projects!S36/FX!S9+Projects!S54/FX!S9+Projects!S72/FX!S11+Projects!S90/FX!S9+Projects!S108/1+Projects!S126/FX!S9+Projects!S146/FX!S9+Projects!S164/FX!S11</f>
        <v>0</v>
      </c>
      <c r="T12" s="60" t="n">
        <f aca="false">Projects!T18/1+Projects!T36/FX!T9+Projects!T54/FX!T9+Projects!T72/FX!T11+Projects!T90/FX!T9+Projects!T108/1+Projects!T126/FX!T9+Projects!T146/FX!T9+Projects!T164/FX!T11</f>
        <v>0</v>
      </c>
      <c r="U12" s="60" t="n">
        <f aca="false">Projects!U18/1+Projects!U36/FX!U9+Projects!U54/FX!U9+Projects!U72/FX!U11+Projects!U90/FX!U9+Projects!U108/1+Projects!U126/FX!U9+Projects!U146/FX!U9+Projects!U164/FX!U11</f>
        <v>0</v>
      </c>
      <c r="V12" s="60" t="n">
        <f aca="false">Projects!V18/1+Projects!V36/FX!V9+Projects!V54/FX!V9+Projects!V72/FX!V11+Projects!V90/FX!V9+Projects!V108/1+Projects!V126/FX!V9+Projects!V146/FX!V9+Projects!V164/FX!V11</f>
        <v>0</v>
      </c>
      <c r="W12" s="60" t="n">
        <f aca="false">Projects!W18/1+Projects!W36/FX!W9+Projects!W54/FX!W9+Projects!W72/FX!W11+Projects!W90/FX!W9+Projects!W108/1+Projects!W126/FX!W9+Projects!W146/FX!W9+Projects!W164/FX!W11</f>
        <v>0</v>
      </c>
      <c r="X12" s="60" t="n">
        <f aca="false">Projects!X18/1+Projects!X36/FX!X9+Projects!X54/FX!X9+Projects!X72/FX!X11+Projects!X90/FX!X9+Projects!X108/1+Projects!X126/FX!X9+Projects!X146/FX!X9+Projects!X164/FX!X11</f>
        <v>0</v>
      </c>
      <c r="Y12" s="60" t="n">
        <f aca="false">Projects!Y18/1+Projects!Y36/FX!Y9+Projects!Y54/FX!Y9+Projects!Y72/FX!Y11+Projects!Y90/FX!Y9+Projects!Y108/1+Projects!Y126/FX!Y9+Projects!Y146/FX!Y9+Projects!Y164/FX!Y11</f>
        <v>0</v>
      </c>
      <c r="Z12" s="60" t="n">
        <f aca="false">Projects!Z18/1+Projects!Z36/FX!Z9+Projects!Z54/FX!Z9+Projects!Z72/FX!Z11+Projects!Z90/FX!Z9+Projects!Z108/1+Projects!Z126/FX!Z9+Projects!Z146/FX!Z9+Projects!Z164/FX!Z11</f>
        <v>0</v>
      </c>
      <c r="AA12" s="60" t="n">
        <f aca="false">Projects!AA18/1+Projects!AA36/FX!AA9+Projects!AA54/FX!AA9+Projects!AA72/FX!AA11+Projects!AA90/FX!AA9+Projects!AA108/1+Projects!AA126/FX!AA9+Projects!AA146/FX!AA9+Projects!AA164/FX!AA11</f>
        <v>0</v>
      </c>
      <c r="AB12" s="60" t="n">
        <f aca="false">Projects!AB18/1+Projects!AB36/FX!AB9+Projects!AB54/FX!AB9+Projects!AB72/FX!AB11+Projects!AB90/FX!AB9+Projects!AB108/1+Projects!AB126/FX!AB9+Projects!AB146/FX!AB9+Projects!AB164/FX!AB11</f>
        <v>0</v>
      </c>
    </row>
    <row r="13" customFormat="false" ht="15" hidden="false" customHeight="false" outlineLevel="0" collapsed="false">
      <c r="A13" s="28" t="s">
        <v>1148</v>
      </c>
      <c r="B13" s="58" t="s">
        <v>51</v>
      </c>
      <c r="C13" s="59" t="n">
        <f aca="false">SUM(E13:P13)</f>
        <v>59229.8665408251</v>
      </c>
      <c r="D13" s="59" t="n">
        <f aca="false">SUM(Q13:AB13)</f>
        <v>953538.120482793</v>
      </c>
      <c r="E13" s="60" t="n">
        <f aca="false">Projects!E183/FX!E9+Projects!E200/FX!E11+Projects!E217/1+Projects!E234/1+Projects!E251/1+Projects!E268/1+Projects!E285/1+Projects!E302/1</f>
        <v>0</v>
      </c>
      <c r="F13" s="60" t="n">
        <f aca="false">Projects!F183/FX!F9+Projects!F200/FX!F11+Projects!F217/1+Projects!F234/1+Projects!F251/1+Projects!F268/1+Projects!F285/1+Projects!F302/1</f>
        <v>0</v>
      </c>
      <c r="G13" s="60" t="n">
        <f aca="false">Projects!G183/FX!G9+Projects!G200/FX!G11+Projects!G217/1+Projects!G234/1+Projects!G251/1+Projects!G268/1+Projects!G285/1+Projects!G302/1</f>
        <v>0</v>
      </c>
      <c r="H13" s="60" t="n">
        <f aca="false">Projects!H183/FX!H9+Projects!H200/FX!H11+Projects!H217/1+Projects!H234/1+Projects!H251/1+Projects!H268/1+Projects!H285/1+Projects!H302/1</f>
        <v>0</v>
      </c>
      <c r="I13" s="60" t="n">
        <f aca="false">Projects!I183/FX!I9+Projects!I200/FX!I11+Projects!I217/1+Projects!I234/1+Projects!I251/1+Projects!I268/1+Projects!I285/1+Projects!I302/1</f>
        <v>0</v>
      </c>
      <c r="J13" s="60" t="n">
        <f aca="false">Projects!J183/FX!J9+Projects!J200/FX!J11+Projects!J217/1+Projects!J234/1+Projects!J251/1+Projects!J268/1+Projects!J285/1+Projects!J302/1</f>
        <v>0</v>
      </c>
      <c r="K13" s="60" t="n">
        <f aca="false">Projects!K183/FX!K9+Projects!K200/FX!K11+Projects!K217/1+Projects!K234/1+Projects!K251/1+Projects!K268/1+Projects!K285/1+Projects!K302/1</f>
        <v>0</v>
      </c>
      <c r="L13" s="60" t="n">
        <f aca="false">Projects!L183/FX!L9+Projects!L200/FX!L11+Projects!L217/1+Projects!L234/1+Projects!L251/1+Projects!L268/1+Projects!L285/1+Projects!L302/1</f>
        <v>0</v>
      </c>
      <c r="M13" s="60" t="n">
        <f aca="false">Projects!M183/FX!M9+Projects!M200/FX!M11+Projects!M217/1+Projects!M234/1+Projects!M251/1+Projects!M268/1+Projects!M285/1+Projects!M302/1</f>
        <v>0</v>
      </c>
      <c r="N13" s="60" t="n">
        <f aca="false">Projects!N183/FX!N9+Projects!N200/FX!N11+Projects!N217/1+Projects!N234/1+Projects!N251/1+Projects!N268/1+Projects!N285/1+Projects!N302/1</f>
        <v>7656.25</v>
      </c>
      <c r="O13" s="60" t="n">
        <f aca="false">Projects!O183/FX!O9+Projects!O200/FX!O11+Projects!O217/1+Projects!O234/1+Projects!O251/1+Projects!O268/1+Projects!O285/1+Projects!O302/1</f>
        <v>21954.0690116643</v>
      </c>
      <c r="P13" s="60" t="n">
        <f aca="false">Projects!P183/FX!P9+Projects!P200/FX!P11+Projects!P217/1+Projects!P234/1+Projects!P251/1+Projects!P268/1+Projects!P285/1+Projects!P302/1</f>
        <v>29619.5475291608</v>
      </c>
      <c r="Q13" s="60" t="n">
        <f aca="false">Projects!Q183/FX!Q9+Projects!Q200/FX!Q11+Projects!Q217/1+Projects!Q234/1+Projects!Q251/1+Projects!Q268/1+Projects!Q285/1+Projects!Q302/1</f>
        <v>45480.786787909</v>
      </c>
      <c r="R13" s="60" t="n">
        <f aca="false">Projects!R183/FX!R9+Projects!R200/FX!R11+Projects!R217/1+Projects!R234/1+Projects!R251/1+Projects!R268/1+Projects!R285/1+Projects!R302/1</f>
        <v>73409.4199568794</v>
      </c>
      <c r="S13" s="60" t="n">
        <f aca="false">Projects!S183/FX!S9+Projects!S200/FX!S11+Projects!S217/1+Projects!S234/1+Projects!S251/1+Projects!S268/1+Projects!S285/1+Projects!S302/1</f>
        <v>92024.0322904626</v>
      </c>
      <c r="T13" s="60" t="n">
        <f aca="false">Projects!T183/FX!T9+Projects!T200/FX!T11+Projects!T217/1+Projects!T234/1+Projects!T251/1+Projects!T268/1+Projects!T285/1+Projects!T302/1</f>
        <v>105942.431395032</v>
      </c>
      <c r="U13" s="60" t="n">
        <f aca="false">Projects!U183/FX!U9+Projects!U200/FX!U11+Projects!U217/1+Projects!U234/1+Projects!U251/1+Projects!U268/1+Projects!U285/1+Projects!U302/1</f>
        <v>104931.701220352</v>
      </c>
      <c r="V13" s="60" t="n">
        <f aca="false">Projects!V183/FX!V9+Projects!V200/FX!V11+Projects!V217/1+Projects!V234/1+Projects!V251/1+Projects!V268/1+Projects!V285/1+Projects!V302/1</f>
        <v>91547.0012722563</v>
      </c>
      <c r="W13" s="60" t="n">
        <f aca="false">Projects!W183/FX!W9+Projects!W200/FX!W11+Projects!W217/1+Projects!W234/1+Projects!W251/1+Projects!W268/1+Projects!W285/1+Projects!W302/1</f>
        <v>94950.0125390796</v>
      </c>
      <c r="X13" s="60" t="n">
        <f aca="false">Projects!X183/FX!X9+Projects!X200/FX!X11+Projects!X217/1+Projects!X234/1+Projects!X251/1+Projects!X268/1+Projects!X285/1+Projects!X302/1</f>
        <v>80868.7350208222</v>
      </c>
      <c r="Y13" s="60" t="n">
        <f aca="false">Projects!Y183/FX!Y9+Projects!Y200/FX!Y11+Projects!Y217/1+Projects!Y234/1+Projects!Y251/1+Projects!Y268/1+Projects!Y285/1+Projects!Y302/1</f>
        <v>60384</v>
      </c>
      <c r="Z13" s="60" t="n">
        <f aca="false">Projects!Z183/FX!Z9+Projects!Z200/FX!Z11+Projects!Z217/1+Projects!Z234/1+Projects!Z251/1+Projects!Z268/1+Projects!Z285/1+Projects!Z302/1</f>
        <v>71808</v>
      </c>
      <c r="AA13" s="60" t="n">
        <f aca="false">Projects!AA183/FX!AA9+Projects!AA200/FX!AA11+Projects!AA217/1+Projects!AA234/1+Projects!AA251/1+Projects!AA268/1+Projects!AA285/1+Projects!AA302/1</f>
        <v>71808</v>
      </c>
      <c r="AB13" s="60" t="n">
        <f aca="false">Projects!AB183/FX!AB9+Projects!AB200/FX!AB11+Projects!AB217/1+Projects!AB234/1+Projects!AB251/1+Projects!AB268/1+Projects!AB285/1+Projects!AB302/1</f>
        <v>60384</v>
      </c>
    </row>
    <row r="14" customFormat="false" ht="15" hidden="false" customHeight="false" outlineLevel="0" collapsed="false">
      <c r="A14" s="28" t="s">
        <v>1149</v>
      </c>
      <c r="B14" s="58" t="s">
        <v>61</v>
      </c>
      <c r="C14" s="59" t="n">
        <f aca="false">SUM(E14:P14)</f>
        <v>740791.912436962</v>
      </c>
      <c r="D14" s="59" t="n">
        <f aca="false">SUM(Q14:AB14)</f>
        <v>810594.81369758</v>
      </c>
      <c r="E14" s="60" t="n">
        <f aca="false">FX!E64+FX!E65</f>
        <v>52834.0077210045</v>
      </c>
      <c r="F14" s="60" t="n">
        <f aca="false">FX!F64+FX!F65</f>
        <v>48930.2510591385</v>
      </c>
      <c r="G14" s="60" t="n">
        <f aca="false">FX!G64+FX!G65</f>
        <v>61751.1635424683</v>
      </c>
      <c r="H14" s="60" t="n">
        <f aca="false">FX!H64+FX!H65</f>
        <v>60667.3890173155</v>
      </c>
      <c r="I14" s="60" t="n">
        <f aca="false">FX!I64+FX!I65</f>
        <v>60545.4464736921</v>
      </c>
      <c r="J14" s="60" t="n">
        <f aca="false">FX!J64+FX!J65</f>
        <v>60735.9659232291</v>
      </c>
      <c r="K14" s="60" t="n">
        <f aca="false">FX!K64+FX!K65</f>
        <v>50614.3998059693</v>
      </c>
      <c r="L14" s="60" t="n">
        <f aca="false">FX!L64+FX!L65</f>
        <v>61642.2382492359</v>
      </c>
      <c r="M14" s="60" t="n">
        <f aca="false">FX!M64+FX!M65</f>
        <v>65143.7538222358</v>
      </c>
      <c r="N14" s="60" t="n">
        <f aca="false">FX!N64+FX!N65</f>
        <v>75452.5352411044</v>
      </c>
      <c r="O14" s="60" t="n">
        <f aca="false">FX!O64+FX!O65</f>
        <v>77548.3043791831</v>
      </c>
      <c r="P14" s="60" t="n">
        <f aca="false">FX!P64+FX!P65</f>
        <v>64926.4572023859</v>
      </c>
      <c r="Q14" s="60" t="n">
        <f aca="false">FX!Q64+FX!Q65</f>
        <v>67770.1093386283</v>
      </c>
      <c r="R14" s="60" t="n">
        <f aca="false">FX!R64+FX!R65</f>
        <v>65863.8252867399</v>
      </c>
      <c r="S14" s="60" t="n">
        <f aca="false">FX!S64+FX!S65</f>
        <v>71540.3733933547</v>
      </c>
      <c r="T14" s="60" t="n">
        <f aca="false">FX!T64+FX!T65</f>
        <v>69479.738052658</v>
      </c>
      <c r="U14" s="60" t="n">
        <f aca="false">FX!U64+FX!U65</f>
        <v>69479.738052658</v>
      </c>
      <c r="V14" s="60" t="n">
        <f aca="false">FX!V64+FX!V65</f>
        <v>64576.0381111088</v>
      </c>
      <c r="W14" s="60" t="n">
        <f aca="false">FX!W64+FX!W65</f>
        <v>53539.4709902935</v>
      </c>
      <c r="X14" s="60" t="n">
        <f aca="false">FX!X64+FX!X65</f>
        <v>62220.8131991241</v>
      </c>
      <c r="Y14" s="60" t="n">
        <f aca="false">FX!Y64+FX!Y65</f>
        <v>71322.9333919357</v>
      </c>
      <c r="Z14" s="60" t="n">
        <f aca="false">FX!Z64+FX!Z65</f>
        <v>74901.6294463782</v>
      </c>
      <c r="AA14" s="60" t="n">
        <f aca="false">FX!AA64+FX!AA65</f>
        <v>76270.0913489868</v>
      </c>
      <c r="AB14" s="60" t="n">
        <f aca="false">FX!AB64+FX!AB65</f>
        <v>63630.0530857136</v>
      </c>
    </row>
    <row r="15" customFormat="false" ht="15" hidden="false" customHeight="false" outlineLevel="0" collapsed="false">
      <c r="A15" s="68" t="s">
        <v>1150</v>
      </c>
      <c r="B15" s="69"/>
      <c r="C15" s="70" t="n">
        <f aca="false">SUM(E15:P15)</f>
        <v>3931975.92120047</v>
      </c>
      <c r="D15" s="70" t="n">
        <f aca="false">SUM(Q15:AB15)</f>
        <v>4189215.86774153</v>
      </c>
      <c r="E15" s="70" t="n">
        <f aca="false">E9+E10+E11+E12+E13+E14</f>
        <v>284790.937616928</v>
      </c>
      <c r="F15" s="70" t="n">
        <f aca="false">F9+F10+F11+F12+F13+F14</f>
        <v>263475.84349698</v>
      </c>
      <c r="G15" s="70" t="n">
        <f aca="false">G9+G10+G11+G12+G13+G14</f>
        <v>280968.708008925</v>
      </c>
      <c r="H15" s="70" t="n">
        <f aca="false">H9+H10+H11+H12+H13+H14</f>
        <v>305539.89893674</v>
      </c>
      <c r="I15" s="70" t="n">
        <f aca="false">I9+I10+I11+I12+I13+I14</f>
        <v>322408.500452097</v>
      </c>
      <c r="J15" s="70" t="n">
        <f aca="false">J9+J10+J11+J12+J13+J14</f>
        <v>356354.427403447</v>
      </c>
      <c r="K15" s="70" t="n">
        <f aca="false">K9+K10+K11+K12+K13+K14</f>
        <v>356904.525114018</v>
      </c>
      <c r="L15" s="70" t="n">
        <f aca="false">L9+L10+L11+L12+L13+L14</f>
        <v>376271.308778516</v>
      </c>
      <c r="M15" s="70" t="n">
        <f aca="false">M9+M10+M11+M12+M13+M14</f>
        <v>381678.418084155</v>
      </c>
      <c r="N15" s="70" t="n">
        <f aca="false">N9+N10+N11+N12+N13+N14</f>
        <v>361750.186465478</v>
      </c>
      <c r="O15" s="70" t="n">
        <f aca="false">O9+O10+O11+O12+O13+O14</f>
        <v>340715.469746469</v>
      </c>
      <c r="P15" s="70" t="n">
        <f aca="false">P9+P10+P11+P12+P13+P14</f>
        <v>301117.697096719</v>
      </c>
      <c r="Q15" s="70" t="n">
        <f aca="false">Q9+Q10+Q11+Q12+Q13+Q14</f>
        <v>309181.709399497</v>
      </c>
      <c r="R15" s="70" t="n">
        <f aca="false">R9+R10+R11+R12+R13+R14</f>
        <v>335204.058516579</v>
      </c>
      <c r="S15" s="70" t="n">
        <f aca="false">S9+S10+S11+S12+S13+S14</f>
        <v>362074.469470508</v>
      </c>
      <c r="T15" s="70" t="n">
        <f aca="false">T9+T10+T11+T12+T13+T14</f>
        <v>375776.388852244</v>
      </c>
      <c r="U15" s="70" t="n">
        <f aca="false">U9+U10+U11+U12+U13+U14</f>
        <v>374765.658677564</v>
      </c>
      <c r="V15" s="70" t="n">
        <f aca="false">V9+V10+V11+V12+V13+V14</f>
        <v>363092.708068696</v>
      </c>
      <c r="W15" s="70" t="n">
        <f aca="false">W9+W10+W11+W12+W13+W14</f>
        <v>353507.006151725</v>
      </c>
      <c r="X15" s="70" t="n">
        <f aca="false">X9+X10+X11+X12+X13+X14</f>
        <v>348107.070842298</v>
      </c>
      <c r="Y15" s="70" t="n">
        <f aca="false">Y9+Y10+Y11+Y12+Y13+Y14</f>
        <v>336724.456014287</v>
      </c>
      <c r="Z15" s="70" t="n">
        <f aca="false">Z9+Z10+Z11+Z12+Z13+Z14</f>
        <v>350703.15206873</v>
      </c>
      <c r="AA15" s="70" t="n">
        <f aca="false">AA9+AA10+AA11+AA12+AA13+AA14</f>
        <v>352071.613971338</v>
      </c>
      <c r="AB15" s="70" t="n">
        <f aca="false">AB9+AB10+AB11+AB12+AB13+AB14</f>
        <v>328007.575708065</v>
      </c>
    </row>
    <row r="16" customFormat="false" ht="15" hidden="false" customHeight="false" outlineLevel="0" collapsed="false">
      <c r="A16" s="28" t="s">
        <v>1151</v>
      </c>
      <c r="B16" s="58"/>
      <c r="C16" s="61" t="n">
        <f aca="false">IF(C15=0,0,(C11+C13)/C15)</f>
        <v>0.0150636391798507</v>
      </c>
      <c r="D16" s="61" t="n">
        <f aca="false">IF(D15=0,0,(D11+D13)/D15)</f>
        <v>0.277434547436579</v>
      </c>
      <c r="E16" s="62" t="n">
        <f aca="false">IF(E15=0,0,(E11+E13)/E15)</f>
        <v>0</v>
      </c>
      <c r="F16" s="62" t="n">
        <f aca="false">IF(F15=0,0,(F11+F13)/F15)</f>
        <v>0</v>
      </c>
      <c r="G16" s="62" t="n">
        <f aca="false">IF(G15=0,0,(G11+G13)/G15)</f>
        <v>0</v>
      </c>
      <c r="H16" s="62" t="n">
        <f aca="false">IF(H15=0,0,(H11+H13)/H15)</f>
        <v>0</v>
      </c>
      <c r="I16" s="62" t="n">
        <f aca="false">IF(I15=0,0,(I11+I13)/I15)</f>
        <v>0</v>
      </c>
      <c r="J16" s="62" t="n">
        <f aca="false">IF(J15=0,0,(J11+J13)/J15)</f>
        <v>0</v>
      </c>
      <c r="K16" s="62" t="n">
        <f aca="false">IF(K15=0,0,(K11+K13)/K15)</f>
        <v>0</v>
      </c>
      <c r="L16" s="62" t="n">
        <f aca="false">IF(L15=0,0,(L11+L13)/L15)</f>
        <v>0</v>
      </c>
      <c r="M16" s="62" t="n">
        <f aca="false">IF(M15=0,0,(M11+M13)/M15)</f>
        <v>0</v>
      </c>
      <c r="N16" s="62" t="n">
        <f aca="false">IF(N15=0,0,(N11+N13)/N15)</f>
        <v>0.0211644673215134</v>
      </c>
      <c r="O16" s="62" t="n">
        <f aca="false">IF(O15=0,0,(O11+O13)/O15)</f>
        <v>0.064435198753965</v>
      </c>
      <c r="P16" s="62" t="n">
        <f aca="false">IF(P15=0,0,(P11+P13)/P15)</f>
        <v>0.0983653495451877</v>
      </c>
      <c r="Q16" s="62" t="n">
        <f aca="false">IF(Q15=0,0,(Q11+Q13)/Q15)</f>
        <v>0.165927537035657</v>
      </c>
      <c r="R16" s="62" t="n">
        <f aca="false">IF(R15=0,0,(R11+R13)/R15)</f>
        <v>0.236364658162946</v>
      </c>
      <c r="S16" s="62" t="n">
        <f aca="false">IF(S15=0,0,(S11+S13)/S15)</f>
        <v>0.281843278546126</v>
      </c>
      <c r="T16" s="62" t="n">
        <f aca="false">IF(T15=0,0,(T11+T13)/T15)</f>
        <v>0.320314575978627</v>
      </c>
      <c r="U16" s="62" t="n">
        <f aca="false">IF(U15=0,0,(U11+U13)/U15)</f>
        <v>0.318481487616763</v>
      </c>
      <c r="V16" s="62" t="n">
        <f aca="false">IF(V15=0,0,(V11+V13)/V15)</f>
        <v>0.314366576658562</v>
      </c>
      <c r="W16" s="62" t="n">
        <f aca="false">IF(W15=0,0,(W11+W13)/W15)</f>
        <v>0.33251737834473</v>
      </c>
      <c r="X16" s="62" t="n">
        <f aca="false">IF(X15=0,0,(X11+X13)/X15)</f>
        <v>0.297224486545065</v>
      </c>
      <c r="Y16" s="62" t="n">
        <f aca="false">IF(Y15=0,0,(Y11+Y13)/Y15)</f>
        <v>0.24643654148324</v>
      </c>
      <c r="Z16" s="62" t="n">
        <f aca="false">IF(Z15=0,0,(Z11+Z13)/Z15)</f>
        <v>0.269188371464894</v>
      </c>
      <c r="AA16" s="62" t="n">
        <f aca="false">IF(AA15=0,0,(AA11+AA13)/AA15)</f>
        <v>0.26814206720077</v>
      </c>
      <c r="AB16" s="62" t="n">
        <f aca="false">IF(AB15=0,0,(AB11+AB13)/AB15)</f>
        <v>0.25298565191324</v>
      </c>
    </row>
    <row r="17" customFormat="false" ht="15" hidden="false" customHeight="false" outlineLevel="0" collapsed="false">
      <c r="A17" s="22" t="s">
        <v>1152</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row>
    <row r="18" customFormat="false" ht="15" hidden="false" customHeight="false" outlineLevel="0" collapsed="false">
      <c r="A18" s="28" t="s">
        <v>317</v>
      </c>
      <c r="B18" s="58" t="s">
        <v>51</v>
      </c>
      <c r="C18" s="59" t="n">
        <f aca="false">P18</f>
        <v>0</v>
      </c>
      <c r="D18" s="59" t="n">
        <f aca="false">AB18</f>
        <v>0</v>
      </c>
      <c r="E18" s="60" t="n">
        <f aca="false">Projects!E313</f>
        <v>74720.8136047849</v>
      </c>
      <c r="F18" s="60" t="n">
        <f aca="false">Projects!F313</f>
        <v>203419.259759351</v>
      </c>
      <c r="G18" s="60" t="n">
        <f aca="false">Projects!G313</f>
        <v>319901.795982924</v>
      </c>
      <c r="H18" s="60" t="n">
        <f aca="false">Projects!H313</f>
        <v>266042.810262327</v>
      </c>
      <c r="I18" s="60" t="n">
        <f aca="false">Projects!I313</f>
        <v>302799.592950897</v>
      </c>
      <c r="J18" s="60" t="n">
        <f aca="false">Projects!J313</f>
        <v>276919.889899008</v>
      </c>
      <c r="K18" s="60" t="n">
        <f aca="false">Projects!K313</f>
        <v>275084.07356288</v>
      </c>
      <c r="L18" s="60" t="n">
        <f aca="false">Projects!L313</f>
        <v>164561.483279342</v>
      </c>
      <c r="M18" s="60" t="n">
        <f aca="false">Projects!M313</f>
        <v>155219.219093182</v>
      </c>
      <c r="N18" s="60" t="n">
        <f aca="false">Projects!N313</f>
        <v>66980.1414861372</v>
      </c>
      <c r="O18" s="60" t="n">
        <f aca="false">Projects!O313</f>
        <v>16169.3687478441</v>
      </c>
      <c r="P18" s="60" t="n">
        <f aca="false">Projects!P313</f>
        <v>0</v>
      </c>
      <c r="Q18" s="60" t="n">
        <f aca="false">Projects!Q313</f>
        <v>0</v>
      </c>
      <c r="R18" s="60" t="n">
        <f aca="false">Projects!R313</f>
        <v>0</v>
      </c>
      <c r="S18" s="60" t="n">
        <f aca="false">Projects!S313</f>
        <v>0</v>
      </c>
      <c r="T18" s="60" t="n">
        <f aca="false">Projects!T313</f>
        <v>0</v>
      </c>
      <c r="U18" s="60" t="n">
        <f aca="false">Projects!U313</f>
        <v>0</v>
      </c>
      <c r="V18" s="60" t="n">
        <f aca="false">Projects!V313</f>
        <v>0</v>
      </c>
      <c r="W18" s="60" t="n">
        <f aca="false">Projects!W313</f>
        <v>0</v>
      </c>
      <c r="X18" s="60" t="n">
        <f aca="false">Projects!X313</f>
        <v>0</v>
      </c>
      <c r="Y18" s="60" t="n">
        <f aca="false">Projects!Y313</f>
        <v>0</v>
      </c>
      <c r="Z18" s="60" t="n">
        <f aca="false">Projects!Z313</f>
        <v>0</v>
      </c>
      <c r="AA18" s="60" t="n">
        <f aca="false">Projects!AA313</f>
        <v>0</v>
      </c>
      <c r="AB18" s="60" t="n">
        <f aca="false">Projects!AB313</f>
        <v>0</v>
      </c>
    </row>
    <row r="19" customFormat="false" ht="15" hidden="false" customHeight="false" outlineLevel="0" collapsed="false">
      <c r="A19" s="28" t="s">
        <v>1153</v>
      </c>
      <c r="B19" s="58" t="s">
        <v>51</v>
      </c>
      <c r="C19" s="59" t="n">
        <f aca="false">P19</f>
        <v>1025346.12048279</v>
      </c>
      <c r="D19" s="59" t="n">
        <f aca="false">AB19</f>
        <v>71808</v>
      </c>
      <c r="E19" s="60" t="n">
        <f aca="false">Projects!E314</f>
        <v>0</v>
      </c>
      <c r="F19" s="60" t="n">
        <f aca="false">Projects!F314</f>
        <v>0</v>
      </c>
      <c r="G19" s="60" t="n">
        <f aca="false">Projects!G314</f>
        <v>0</v>
      </c>
      <c r="H19" s="60" t="n">
        <f aca="false">Projects!H314</f>
        <v>0</v>
      </c>
      <c r="I19" s="60" t="n">
        <f aca="false">Projects!I314</f>
        <v>0</v>
      </c>
      <c r="J19" s="60" t="n">
        <f aca="false">Projects!J314</f>
        <v>0</v>
      </c>
      <c r="K19" s="60" t="n">
        <f aca="false">Projects!K314</f>
        <v>0</v>
      </c>
      <c r="L19" s="60" t="n">
        <f aca="false">Projects!L314</f>
        <v>0</v>
      </c>
      <c r="M19" s="60" t="n">
        <f aca="false">Projects!M314</f>
        <v>1084575.98702362</v>
      </c>
      <c r="N19" s="60" t="n">
        <f aca="false">Projects!N314</f>
        <v>1076919.73702362</v>
      </c>
      <c r="O19" s="60" t="n">
        <f aca="false">Projects!O314</f>
        <v>1054965.66801195</v>
      </c>
      <c r="P19" s="60" t="n">
        <f aca="false">Projects!P314</f>
        <v>1025346.12048279</v>
      </c>
      <c r="Q19" s="60" t="n">
        <f aca="false">Projects!Q314</f>
        <v>979865.333694884</v>
      </c>
      <c r="R19" s="60" t="n">
        <f aca="false">Projects!R314</f>
        <v>906455.913738004</v>
      </c>
      <c r="S19" s="60" t="n">
        <f aca="false">Projects!S314</f>
        <v>814431.881447542</v>
      </c>
      <c r="T19" s="60" t="n">
        <f aca="false">Projects!T314</f>
        <v>708489.45005251</v>
      </c>
      <c r="U19" s="60" t="n">
        <f aca="false">Projects!U314</f>
        <v>603557.748832158</v>
      </c>
      <c r="V19" s="60" t="n">
        <f aca="false">Projects!V314</f>
        <v>512010.747559902</v>
      </c>
      <c r="W19" s="60" t="n">
        <f aca="false">Projects!W314</f>
        <v>417060.735020822</v>
      </c>
      <c r="X19" s="60" t="n">
        <f aca="false">Projects!X314</f>
        <v>336192</v>
      </c>
      <c r="Y19" s="60" t="n">
        <f aca="false">Projects!Y314</f>
        <v>275808</v>
      </c>
      <c r="Z19" s="60" t="n">
        <f aca="false">Projects!Z314</f>
        <v>204000</v>
      </c>
      <c r="AA19" s="60" t="n">
        <f aca="false">Projects!AA314</f>
        <v>132192</v>
      </c>
      <c r="AB19" s="60" t="n">
        <f aca="false">Projects!AB314</f>
        <v>71808</v>
      </c>
    </row>
    <row r="20" customFormat="false" ht="15" hidden="false" customHeight="false" outlineLevel="0" collapsed="false">
      <c r="A20" s="28" t="s">
        <v>1154</v>
      </c>
      <c r="B20" s="58" t="s">
        <v>49</v>
      </c>
      <c r="C20" s="59" t="n">
        <f aca="false">AVERAGE(E20:P20)</f>
        <v>188699.794118377</v>
      </c>
      <c r="D20" s="59" t="n">
        <f aca="false">AVERAGE(Q20:AB20)</f>
        <v>202090.24446343</v>
      </c>
      <c r="E20" s="60" t="n">
        <f aca="false">Retainers!E168</f>
        <v>166561.248867628</v>
      </c>
      <c r="F20" s="60" t="n">
        <f aca="false">Retainers!F168</f>
        <v>166356.523501859</v>
      </c>
      <c r="G20" s="60" t="n">
        <f aca="false">Retainers!G168</f>
        <v>166419.453048656</v>
      </c>
      <c r="H20" s="60" t="n">
        <f aca="false">Retainers!H168</f>
        <v>189372.816871897</v>
      </c>
      <c r="I20" s="60" t="n">
        <f aca="false">Retainers!I168</f>
        <v>189228.218401487</v>
      </c>
      <c r="J20" s="60" t="n">
        <f aca="false">Retainers!J168</f>
        <v>203178.680723191</v>
      </c>
      <c r="K20" s="60" t="n">
        <f aca="false">Retainers!K168</f>
        <v>204071.873019969</v>
      </c>
      <c r="L20" s="60" t="n">
        <f aca="false">Retainers!L168</f>
        <v>204099.420516524</v>
      </c>
      <c r="M20" s="60" t="n">
        <f aca="false">Retainers!M168</f>
        <v>203902.323617329</v>
      </c>
      <c r="N20" s="60" t="n">
        <f aca="false">Retainers!N168</f>
        <v>190402.323617329</v>
      </c>
      <c r="O20" s="60" t="n">
        <f aca="false">Retainers!O168</f>
        <v>190402.323617329</v>
      </c>
      <c r="P20" s="60" t="n">
        <f aca="false">Retainers!P168</f>
        <v>190402.323617329</v>
      </c>
      <c r="Q20" s="60" t="n">
        <f aca="false">Retainers!Q168</f>
        <v>195930.81327296</v>
      </c>
      <c r="R20" s="60" t="n">
        <f aca="false">Retainers!R168</f>
        <v>195930.81327296</v>
      </c>
      <c r="S20" s="60" t="n">
        <f aca="false">Retainers!S168</f>
        <v>198510.063786691</v>
      </c>
      <c r="T20" s="60" t="n">
        <f aca="false">Retainers!T168</f>
        <v>200354.219404554</v>
      </c>
      <c r="U20" s="60" t="n">
        <f aca="false">Retainers!U168</f>
        <v>200354.219404554</v>
      </c>
      <c r="V20" s="60" t="n">
        <f aca="false">Retainers!V168</f>
        <v>206969.668685331</v>
      </c>
      <c r="W20" s="60" t="n">
        <f aca="false">Retainers!W168</f>
        <v>205017.522622351</v>
      </c>
      <c r="X20" s="60" t="n">
        <f aca="false">Retainers!X168</f>
        <v>205017.522622351</v>
      </c>
      <c r="Y20" s="60" t="n">
        <f aca="false">Retainers!Y168</f>
        <v>205017.522622351</v>
      </c>
      <c r="Z20" s="60" t="n">
        <f aca="false">Retainers!Z168</f>
        <v>203993.522622351</v>
      </c>
      <c r="AA20" s="60" t="n">
        <f aca="false">Retainers!AA168</f>
        <v>203993.522622351</v>
      </c>
      <c r="AB20" s="60" t="n">
        <f aca="false">Retainers!AB168</f>
        <v>203993.522622351</v>
      </c>
    </row>
    <row r="22" customFormat="false" ht="15" hidden="false" customHeight="false" outlineLevel="0" collapsed="false">
      <c r="A22" s="20" t="s">
        <v>1155</v>
      </c>
    </row>
    <row r="23" customFormat="false" ht="36" hidden="false" customHeight="true" outlineLevel="0" collapsed="false">
      <c r="A23" s="26" t="s">
        <v>1156</v>
      </c>
      <c r="B23" s="27" t="s">
        <v>644</v>
      </c>
      <c r="C23" s="27" t="s">
        <v>1157</v>
      </c>
      <c r="D23" s="27" t="s">
        <v>1158</v>
      </c>
      <c r="E23" s="27" t="s">
        <v>1159</v>
      </c>
      <c r="F23" s="27" t="s">
        <v>1160</v>
      </c>
      <c r="G23" s="27" t="s">
        <v>1161</v>
      </c>
      <c r="H23" s="27" t="s">
        <v>1162</v>
      </c>
      <c r="I23" s="27" t="s">
        <v>1163</v>
      </c>
      <c r="J23" s="27" t="s">
        <v>1164</v>
      </c>
    </row>
    <row r="24" customFormat="false" ht="15" hidden="false" customHeight="false" outlineLevel="0" collapsed="false">
      <c r="A24" s="117" t="str">
        <f aca="false">Project_Register!$A$16</f>
        <v>PL-01</v>
      </c>
      <c r="B24" s="117" t="str">
        <f aca="false">Project_Register!$B$16</f>
        <v>BRK</v>
      </c>
      <c r="C24" s="117" t="str">
        <f aca="false">Project_Register!$C$16</f>
        <v>Customer portal redesign</v>
      </c>
      <c r="D24" s="60" t="n">
        <f aca="false">Project_Register!$H$16/INDEX(Inputs_Actuals!$E$9:$AB$9,Assumptions!$C$10)</f>
        <v>280337.807057504</v>
      </c>
      <c r="E24" s="63" t="n">
        <f aca="false">Project_Register!$L$16</f>
        <v>0.4</v>
      </c>
      <c r="F24" s="63" t="n">
        <f aca="false">Project_Register!$M$16</f>
        <v>0.25</v>
      </c>
      <c r="G24" s="63" t="n">
        <f aca="false">Project_Register!$N$16</f>
        <v>0.55</v>
      </c>
      <c r="H24" s="63" t="n">
        <f aca="false">Project_Register!$O$16</f>
        <v>0.4</v>
      </c>
      <c r="I24" s="60" t="n">
        <f aca="false">D24*H24</f>
        <v>112135.122823002</v>
      </c>
      <c r="J24" s="97" t="n">
        <f aca="false">EOMONTH(Assumptions!$C$8,Project_Register!$T$16-1)</f>
        <v>46446</v>
      </c>
    </row>
    <row r="25" customFormat="false" ht="15" hidden="false" customHeight="false" outlineLevel="0" collapsed="false">
      <c r="A25" s="117" t="str">
        <f aca="false">Project_Register!$A$17</f>
        <v>PL-02</v>
      </c>
      <c r="B25" s="117" t="str">
        <f aca="false">Project_Register!$B$17</f>
        <v>FER</v>
      </c>
      <c r="C25" s="117" t="str">
        <f aca="false">Project_Register!$C$17</f>
        <v>Brand and website</v>
      </c>
      <c r="D25" s="60" t="n">
        <f aca="false">Project_Register!$H$17/INDEX(Inputs_Actuals!$E$11:$AB$11,Assumptions!$C$10)</f>
        <v>138642.173216065</v>
      </c>
      <c r="E25" s="63" t="n">
        <f aca="false">Project_Register!$L$17</f>
        <v>0.5</v>
      </c>
      <c r="F25" s="63" t="n">
        <f aca="false">Project_Register!$M$17</f>
        <v>0.3</v>
      </c>
      <c r="G25" s="63" t="n">
        <f aca="false">Project_Register!$N$17</f>
        <v>0.65</v>
      </c>
      <c r="H25" s="63" t="n">
        <f aca="false">Project_Register!$O$17</f>
        <v>0.5</v>
      </c>
      <c r="I25" s="60" t="n">
        <f aca="false">D25*H25</f>
        <v>69321.0866080326</v>
      </c>
      <c r="J25" s="97" t="n">
        <f aca="false">EOMONTH(Assumptions!$C$8,Project_Register!$T$17-1)</f>
        <v>46356</v>
      </c>
    </row>
    <row r="26" customFormat="false" ht="15" hidden="false" customHeight="false" outlineLevel="0" collapsed="false">
      <c r="A26" s="117" t="str">
        <f aca="false">Project_Register!$A$18</f>
        <v>PL-03</v>
      </c>
      <c r="B26" s="117" t="str">
        <f aca="false">Project_Register!$B$18</f>
        <v>VOL</v>
      </c>
      <c r="C26" s="117" t="str">
        <f aca="false">Project_Register!$C$18</f>
        <v>Product launch campaign</v>
      </c>
      <c r="D26" s="60" t="n">
        <f aca="false">Project_Register!$H$18/1</f>
        <v>70000</v>
      </c>
      <c r="E26" s="63" t="n">
        <f aca="false">Project_Register!$L$18</f>
        <v>0.7</v>
      </c>
      <c r="F26" s="63" t="n">
        <f aca="false">Project_Register!$M$18</f>
        <v>0.5</v>
      </c>
      <c r="G26" s="63" t="n">
        <f aca="false">Project_Register!$N$18</f>
        <v>0.8</v>
      </c>
      <c r="H26" s="63" t="n">
        <f aca="false">Project_Register!$O$18</f>
        <v>0.7</v>
      </c>
      <c r="I26" s="60" t="n">
        <f aca="false">D26*H26</f>
        <v>49000</v>
      </c>
      <c r="J26" s="97" t="n">
        <f aca="false">EOMONTH(Assumptions!$C$8,Project_Register!$T$18-1)</f>
        <v>46326</v>
      </c>
    </row>
    <row r="27" customFormat="false" ht="15" hidden="false" customHeight="false" outlineLevel="0" collapsed="false">
      <c r="A27" s="117" t="str">
        <f aca="false">Project_Register!$A$19</f>
        <v>PL-04</v>
      </c>
      <c r="B27" s="117" t="str">
        <f aca="false">Project_Register!$B$19</f>
        <v>AUR</v>
      </c>
      <c r="C27" s="117" t="str">
        <f aca="false">Project_Register!$C$19</f>
        <v>Booking website</v>
      </c>
      <c r="D27" s="60" t="n">
        <f aca="false">Project_Register!$H$19/1</f>
        <v>110000</v>
      </c>
      <c r="E27" s="63" t="n">
        <f aca="false">Project_Register!$L$19</f>
        <v>0.35</v>
      </c>
      <c r="F27" s="63" t="n">
        <f aca="false">Project_Register!$M$19</f>
        <v>0.2</v>
      </c>
      <c r="G27" s="63" t="n">
        <f aca="false">Project_Register!$N$19</f>
        <v>0.45</v>
      </c>
      <c r="H27" s="63" t="n">
        <f aca="false">Project_Register!$O$19</f>
        <v>0.35</v>
      </c>
      <c r="I27" s="60" t="n">
        <f aca="false">D27*H27</f>
        <v>38500</v>
      </c>
      <c r="J27" s="97" t="n">
        <f aca="false">EOMONTH(Assumptions!$C$8,Project_Register!$T$19-1)</f>
        <v>46477</v>
      </c>
    </row>
    <row r="28" customFormat="false" ht="15" hidden="false" customHeight="false" outlineLevel="0" collapsed="false">
      <c r="A28" s="117" t="str">
        <f aca="false">Project_Register!$A$20</f>
        <v>NW-1</v>
      </c>
      <c r="B28" s="117" t="str">
        <f aca="false">Project_Register!$B$20</f>
        <v>NEW</v>
      </c>
      <c r="C28" s="117" t="str">
        <f aca="false">Project_Register!$C$20</f>
        <v>New project wins not yet identified, Q1-27 starts (run-rate)</v>
      </c>
      <c r="D28" s="60" t="n">
        <f aca="false">Project_Register!$H$20/1</f>
        <v>240000</v>
      </c>
      <c r="E28" s="63" t="n">
        <f aca="false">Project_Register!$L$20</f>
        <v>0.85</v>
      </c>
      <c r="F28" s="63" t="n">
        <f aca="false">Project_Register!$M$20</f>
        <v>0.7</v>
      </c>
      <c r="G28" s="63" t="n">
        <f aca="false">Project_Register!$N$20</f>
        <v>1</v>
      </c>
      <c r="H28" s="63" t="n">
        <f aca="false">Project_Register!$O$20</f>
        <v>0.85</v>
      </c>
      <c r="I28" s="60" t="n">
        <f aca="false">D28*H28</f>
        <v>204000</v>
      </c>
      <c r="J28" s="97" t="n">
        <f aca="false">EOMONTH(Assumptions!$C$8,Project_Register!$T$20-1)</f>
        <v>46418</v>
      </c>
    </row>
    <row r="29" customFormat="false" ht="15" hidden="false" customHeight="false" outlineLevel="0" collapsed="false">
      <c r="A29" s="117" t="str">
        <f aca="false">Project_Register!$A$21</f>
        <v>NW-2</v>
      </c>
      <c r="B29" s="117" t="str">
        <f aca="false">Project_Register!$B$21</f>
        <v>NEW</v>
      </c>
      <c r="C29" s="117" t="str">
        <f aca="false">Project_Register!$C$21</f>
        <v>New project wins not yet identified, Q2-27 starts (run-rate)</v>
      </c>
      <c r="D29" s="60" t="n">
        <f aca="false">Project_Register!$H$21/1</f>
        <v>240000</v>
      </c>
      <c r="E29" s="63" t="n">
        <f aca="false">Project_Register!$L$21</f>
        <v>0.85</v>
      </c>
      <c r="F29" s="63" t="n">
        <f aca="false">Project_Register!$M$21</f>
        <v>0.7</v>
      </c>
      <c r="G29" s="63" t="n">
        <f aca="false">Project_Register!$N$21</f>
        <v>1</v>
      </c>
      <c r="H29" s="63" t="n">
        <f aca="false">Project_Register!$O$21</f>
        <v>0.85</v>
      </c>
      <c r="I29" s="60" t="n">
        <f aca="false">D29*H29</f>
        <v>204000</v>
      </c>
      <c r="J29" s="97" t="n">
        <f aca="false">EOMONTH(Assumptions!$C$8,Project_Register!$T$21-1)</f>
        <v>46507</v>
      </c>
    </row>
    <row r="30" customFormat="false" ht="15" hidden="false" customHeight="false" outlineLevel="0" collapsed="false">
      <c r="A30" s="117" t="str">
        <f aca="false">Project_Register!$A$22</f>
        <v>NW-3</v>
      </c>
      <c r="B30" s="117" t="str">
        <f aca="false">Project_Register!$B$22</f>
        <v>NEW</v>
      </c>
      <c r="C30" s="117" t="str">
        <f aca="false">Project_Register!$C$22</f>
        <v>New project wins not yet identified, Q3-27 starts (run-rate)</v>
      </c>
      <c r="D30" s="60" t="n">
        <f aca="false">Project_Register!$H$22/1</f>
        <v>240000</v>
      </c>
      <c r="E30" s="63" t="n">
        <f aca="false">Project_Register!$L$22</f>
        <v>0.85</v>
      </c>
      <c r="F30" s="63" t="n">
        <f aca="false">Project_Register!$M$22</f>
        <v>0.7</v>
      </c>
      <c r="G30" s="63" t="n">
        <f aca="false">Project_Register!$N$22</f>
        <v>1</v>
      </c>
      <c r="H30" s="63" t="n">
        <f aca="false">Project_Register!$O$22</f>
        <v>0.85</v>
      </c>
      <c r="I30" s="60" t="n">
        <f aca="false">D30*H30</f>
        <v>204000</v>
      </c>
      <c r="J30" s="97" t="n">
        <f aca="false">EOMONTH(Assumptions!$C$8,Project_Register!$T$22-1)</f>
        <v>46599</v>
      </c>
    </row>
    <row r="31" customFormat="false" ht="15" hidden="false" customHeight="false" outlineLevel="0" collapsed="false">
      <c r="A31" s="117" t="str">
        <f aca="false">Project_Register!$A$23</f>
        <v>NW-4</v>
      </c>
      <c r="B31" s="117" t="str">
        <f aca="false">Project_Register!$B$23</f>
        <v>NEW</v>
      </c>
      <c r="C31" s="117" t="str">
        <f aca="false">Project_Register!$C$23</f>
        <v>New project wins not yet identified, Q4-27 starts (run-rate)</v>
      </c>
      <c r="D31" s="60" t="n">
        <f aca="false">Project_Register!$H$23/1</f>
        <v>240000</v>
      </c>
      <c r="E31" s="63" t="n">
        <f aca="false">Project_Register!$L$23</f>
        <v>0.85</v>
      </c>
      <c r="F31" s="63" t="n">
        <f aca="false">Project_Register!$M$23</f>
        <v>0.7</v>
      </c>
      <c r="G31" s="63" t="n">
        <f aca="false">Project_Register!$N$23</f>
        <v>1</v>
      </c>
      <c r="H31" s="63" t="n">
        <f aca="false">Project_Register!$O$23</f>
        <v>0.85</v>
      </c>
      <c r="I31" s="60" t="n">
        <f aca="false">D31*H31</f>
        <v>204000</v>
      </c>
      <c r="J31" s="97" t="n">
        <f aca="false">EOMONTH(Assumptions!$C$8,Project_Register!$T$23-1)</f>
        <v>46691</v>
      </c>
    </row>
    <row r="32" customFormat="false" ht="15" hidden="false" customHeight="false" outlineLevel="0" collapsed="false">
      <c r="A32" s="117" t="str">
        <f aca="false">Client_Register!$A$44</f>
        <v>R-FER</v>
      </c>
      <c r="B32" s="117" t="str">
        <f aca="false">Client_Register!$B$44</f>
        <v>FER</v>
      </c>
      <c r="C32" s="117" t="str">
        <f aca="false">"Retainer: "&amp;Client_Register!$F$44</f>
        <v>Retainer: Proposal: 12 months from Jan-27</v>
      </c>
      <c r="D32" s="60" t="n">
        <f aca="false">12*Client_Register!$T$44</f>
        <v>155972.444868073</v>
      </c>
      <c r="E32" s="63" t="n">
        <f aca="false">Client_Register!$K$44</f>
        <v>0.45</v>
      </c>
      <c r="F32" s="63" t="n">
        <f aca="false">Client_Register!$L$44</f>
        <v>0.25</v>
      </c>
      <c r="G32" s="63" t="n">
        <f aca="false">Client_Register!$M$44</f>
        <v>0.6</v>
      </c>
      <c r="H32" s="63" t="n">
        <f aca="false">Client_Register!$N$44</f>
        <v>0.45</v>
      </c>
      <c r="I32" s="60" t="n">
        <f aca="false">D32*H32</f>
        <v>70187.600190633</v>
      </c>
      <c r="J32" s="97" t="n">
        <f aca="false">Client_Register!$I$44</f>
        <v>46418</v>
      </c>
    </row>
    <row r="33" customFormat="false" ht="15" hidden="false" customHeight="false" outlineLevel="0" collapsed="false">
      <c r="A33" s="117" t="str">
        <f aca="false">Client_Register!$A$45</f>
        <v>R-HAL2</v>
      </c>
      <c r="B33" s="117" t="str">
        <f aca="false">Client_Register!$B$45</f>
        <v>HAL</v>
      </c>
      <c r="C33" s="117" t="str">
        <f aca="false">"Retainer: "&amp;Client_Register!$F$45</f>
        <v>Retainer: Proposal: growth marketing pod from Mar-27</v>
      </c>
      <c r="D33" s="60" t="n">
        <f aca="false">12*Client_Register!$T$45</f>
        <v>168202.684234503</v>
      </c>
      <c r="E33" s="63" t="n">
        <f aca="false">Client_Register!$K$45</f>
        <v>0.3</v>
      </c>
      <c r="F33" s="63" t="n">
        <f aca="false">Client_Register!$L$45</f>
        <v>0</v>
      </c>
      <c r="G33" s="63" t="n">
        <f aca="false">Client_Register!$M$45</f>
        <v>0.8</v>
      </c>
      <c r="H33" s="63" t="n">
        <f aca="false">Client_Register!$N$45</f>
        <v>0.3</v>
      </c>
      <c r="I33" s="60" t="n">
        <f aca="false">D33*H33</f>
        <v>50460.8052703508</v>
      </c>
      <c r="J33" s="97" t="n">
        <f aca="false">Client_Register!$I$45</f>
        <v>46477</v>
      </c>
    </row>
    <row r="34" customFormat="false" ht="15" hidden="false" customHeight="false" outlineLevel="0" collapsed="false">
      <c r="A34" s="117" t="str">
        <f aca="false">Client_Register!$A$46</f>
        <v>R-AUR</v>
      </c>
      <c r="B34" s="117" t="str">
        <f aca="false">Client_Register!$B$46</f>
        <v>AUR</v>
      </c>
      <c r="C34" s="117" t="str">
        <f aca="false">"Retainer: "&amp;Client_Register!$F$46</f>
        <v>Retainer: Proposal: follows the website project</v>
      </c>
      <c r="D34" s="60" t="n">
        <f aca="false">12*Client_Register!$T$46</f>
        <v>132000</v>
      </c>
      <c r="E34" s="63" t="n">
        <f aca="false">Client_Register!$K$46</f>
        <v>0.4</v>
      </c>
      <c r="F34" s="63" t="n">
        <f aca="false">Client_Register!$L$46</f>
        <v>0.25</v>
      </c>
      <c r="G34" s="63" t="n">
        <f aca="false">Client_Register!$M$46</f>
        <v>0.55</v>
      </c>
      <c r="H34" s="63" t="n">
        <f aca="false">Client_Register!$N$46</f>
        <v>0.4</v>
      </c>
      <c r="I34" s="60" t="n">
        <f aca="false">D34*H34</f>
        <v>52800</v>
      </c>
      <c r="J34" s="97" t="n">
        <f aca="false">Client_Register!$I$46</f>
        <v>46507</v>
      </c>
    </row>
    <row r="35" customFormat="false" ht="15" hidden="false" customHeight="false" outlineLevel="0" collapsed="false">
      <c r="A35" s="117" t="str">
        <f aca="false">Client_Register!$A$47</f>
        <v>R-BRK</v>
      </c>
      <c r="B35" s="117" t="str">
        <f aca="false">Client_Register!$B$47</f>
        <v>BRK</v>
      </c>
      <c r="C35" s="117" t="str">
        <f aca="false">"Retainer: "&amp;Client_Register!$F$47</f>
        <v>Retainer: Proposal: follows the portal project</v>
      </c>
      <c r="D35" s="60" t="n">
        <f aca="false">12*Client_Register!$T$47</f>
        <v>280337.807057504</v>
      </c>
      <c r="E35" s="63" t="n">
        <f aca="false">Client_Register!$K$47</f>
        <v>0.35</v>
      </c>
      <c r="F35" s="63" t="n">
        <f aca="false">Client_Register!$L$47</f>
        <v>0.2</v>
      </c>
      <c r="G35" s="63" t="n">
        <f aca="false">Client_Register!$M$47</f>
        <v>0.5</v>
      </c>
      <c r="H35" s="63" t="n">
        <f aca="false">Client_Register!$N$47</f>
        <v>0.35</v>
      </c>
      <c r="I35" s="60" t="n">
        <f aca="false">D35*H35</f>
        <v>98118.2324701265</v>
      </c>
      <c r="J35" s="97" t="n">
        <f aca="false">Client_Register!$I$47</f>
        <v>46568</v>
      </c>
    </row>
    <row r="36" customFormat="false" ht="15" hidden="false" customHeight="false" outlineLevel="0" collapsed="false">
      <c r="A36" s="79" t="s">
        <v>499</v>
      </c>
      <c r="D36" s="80" t="n">
        <f aca="false">SUM(D24:D35)</f>
        <v>2295492.91643365</v>
      </c>
      <c r="I36" s="80" t="n">
        <f aca="false">SUM(I24:I35)</f>
        <v>1356522.84736214</v>
      </c>
    </row>
    <row r="38" customFormat="false" ht="15" hidden="false" customHeight="false" outlineLevel="0" collapsed="false">
      <c r="A38" s="20" t="s">
        <v>1165</v>
      </c>
    </row>
    <row r="39" customFormat="false" ht="36" hidden="false" customHeight="true" outlineLevel="0" collapsed="false">
      <c r="A39" s="26" t="s">
        <v>1166</v>
      </c>
      <c r="B39" s="27" t="s">
        <v>644</v>
      </c>
      <c r="C39" s="27" t="s">
        <v>1167</v>
      </c>
      <c r="D39" s="27" t="s">
        <v>1168</v>
      </c>
      <c r="E39" s="27" t="s">
        <v>1169</v>
      </c>
      <c r="F39" s="27" t="s">
        <v>1170</v>
      </c>
      <c r="G39" s="27" t="s">
        <v>1171</v>
      </c>
      <c r="H39" s="27" t="s">
        <v>1172</v>
      </c>
      <c r="I39" s="27" t="s">
        <v>1173</v>
      </c>
    </row>
    <row r="40" customFormat="false" ht="15" hidden="false" customHeight="false" outlineLevel="0" collapsed="false">
      <c r="A40" s="117" t="str">
        <f aca="false">Client_Register!$A$42</f>
        <v>R-SRV</v>
      </c>
      <c r="B40" s="117" t="str">
        <f aca="false">Client_Register!$B$42</f>
        <v>SRV</v>
      </c>
      <c r="C40" s="117" t="str">
        <f aca="false">Client_Register!$F$42</f>
        <v>Notice received Jun-26, ends 30-Sep-26</v>
      </c>
      <c r="D40" s="60" t="n">
        <f aca="false">12*Client_Register!$T$42</f>
        <v>162000</v>
      </c>
      <c r="E40" s="97" t="n">
        <f aca="false">Client_Register!$J$42</f>
        <v>46295</v>
      </c>
      <c r="F40" s="63" t="n">
        <f aca="false">Client_Register!$N$42</f>
        <v>0</v>
      </c>
      <c r="G40" s="60" t="n">
        <f aca="false">D40*F40</f>
        <v>0</v>
      </c>
      <c r="H40" s="60" t="n">
        <f aca="false">D40-G40</f>
        <v>162000</v>
      </c>
      <c r="I40" s="63" t="n">
        <f aca="false">Client_Register!$R$42</f>
        <v>0.200803571428571</v>
      </c>
    </row>
    <row r="41" customFormat="false" ht="15" hidden="false" customHeight="false" outlineLevel="0" collapsed="false">
      <c r="A41" s="117" t="str">
        <f aca="false">Client_Register!$A$33</f>
        <v>R-HAL</v>
      </c>
      <c r="B41" s="117" t="str">
        <f aca="false">Client_Register!$B$33</f>
        <v>HAL</v>
      </c>
      <c r="C41" s="117" t="str">
        <f aca="false">Client_Register!$F$33</f>
        <v>Annual, renews 31-Dec</v>
      </c>
      <c r="D41" s="60" t="n">
        <f aca="false">12*Client_Register!$T$33</f>
        <v>588709.394820759</v>
      </c>
      <c r="E41" s="97" t="n">
        <f aca="false">Client_Register!$J$33</f>
        <v>46387</v>
      </c>
      <c r="F41" s="63" t="n">
        <f aca="false">Client_Register!$N$33</f>
        <v>1</v>
      </c>
      <c r="G41" s="60" t="n">
        <f aca="false">D41*F41</f>
        <v>588709.394820759</v>
      </c>
      <c r="H41" s="60" t="n">
        <f aca="false">D41-G41</f>
        <v>0</v>
      </c>
      <c r="I41" s="63" t="n">
        <f aca="false">Client_Register!$R$33</f>
        <v>0.152122093023256</v>
      </c>
    </row>
    <row r="42" customFormat="false" ht="15" hidden="false" customHeight="false" outlineLevel="0" collapsed="false">
      <c r="A42" s="117" t="str">
        <f aca="false">Client_Register!$A$39</f>
        <v>R-VOL</v>
      </c>
      <c r="B42" s="117" t="str">
        <f aca="false">Client_Register!$B$39</f>
        <v>VOL</v>
      </c>
      <c r="C42" s="117" t="str">
        <f aca="false">Client_Register!$F$39</f>
        <v>Annual, renews 31-Dec</v>
      </c>
      <c r="D42" s="60" t="n">
        <f aca="false">12*Client_Register!$T$39</f>
        <v>222000</v>
      </c>
      <c r="E42" s="97" t="n">
        <f aca="false">Client_Register!$J$39</f>
        <v>46387</v>
      </c>
      <c r="F42" s="63" t="n">
        <f aca="false">Client_Register!$N$39</f>
        <v>0.85</v>
      </c>
      <c r="G42" s="60" t="n">
        <f aca="false">D42*F42</f>
        <v>188700</v>
      </c>
      <c r="H42" s="60" t="n">
        <f aca="false">D42-G42</f>
        <v>33300</v>
      </c>
      <c r="I42" s="63" t="n">
        <f aca="false">Client_Register!$R$39</f>
        <v>0.263486842105263</v>
      </c>
    </row>
    <row r="43" customFormat="false" ht="15" hidden="false" customHeight="false" outlineLevel="0" collapsed="false">
      <c r="A43" s="117" t="str">
        <f aca="false">Client_Register!$A$43</f>
        <v>R-TAM</v>
      </c>
      <c r="B43" s="117" t="str">
        <f aca="false">Client_Register!$B$43</f>
        <v>TAM</v>
      </c>
      <c r="C43" s="117" t="str">
        <f aca="false">Client_Register!$F$43</f>
        <v>Annual, renews 31-Dec</v>
      </c>
      <c r="D43" s="60" t="n">
        <f aca="false">12*Client_Register!$T$43</f>
        <v>108000</v>
      </c>
      <c r="E43" s="97" t="n">
        <f aca="false">Client_Register!$J$43</f>
        <v>46387</v>
      </c>
      <c r="F43" s="63" t="n">
        <f aca="false">Client_Register!$N$43</f>
        <v>0.95</v>
      </c>
      <c r="G43" s="60" t="n">
        <f aca="false">D43*F43</f>
        <v>102600</v>
      </c>
      <c r="H43" s="60" t="n">
        <f aca="false">D43-G43</f>
        <v>5400</v>
      </c>
      <c r="I43" s="63" t="n">
        <f aca="false">Client_Register!$R$43</f>
        <v>0.0597368421052631</v>
      </c>
    </row>
    <row r="44" customFormat="false" ht="15" hidden="false" customHeight="false" outlineLevel="0" collapsed="false">
      <c r="A44" s="117" t="str">
        <f aca="false">Client_Register!$A$41</f>
        <v>R-VDH</v>
      </c>
      <c r="B44" s="117" t="str">
        <f aca="false">Client_Register!$B$41</f>
        <v>VDH</v>
      </c>
      <c r="C44" s="117" t="str">
        <f aca="false">Client_Register!$F$41</f>
        <v>Annual, renews 28-Feb</v>
      </c>
      <c r="D44" s="60" t="n">
        <f aca="false">12*Client_Register!$T$41</f>
        <v>168000</v>
      </c>
      <c r="E44" s="97" t="n">
        <f aca="false">Client_Register!$J$41</f>
        <v>46446</v>
      </c>
      <c r="F44" s="63" t="n">
        <f aca="false">Client_Register!$N$41</f>
        <v>0.85</v>
      </c>
      <c r="G44" s="60" t="n">
        <f aca="false">D44*F44</f>
        <v>142800</v>
      </c>
      <c r="H44" s="60" t="n">
        <f aca="false">D44-G44</f>
        <v>25200</v>
      </c>
      <c r="I44" s="63" t="n">
        <f aca="false">Client_Register!$R$41</f>
        <v>0.076896551724138</v>
      </c>
    </row>
    <row r="45" customFormat="false" ht="15" hidden="false" customHeight="false" outlineLevel="0" collapsed="false">
      <c r="A45" s="117" t="str">
        <f aca="false">Client_Register!$A$34</f>
        <v>R-THV</v>
      </c>
      <c r="B45" s="117" t="str">
        <f aca="false">Client_Register!$B$34</f>
        <v>THV</v>
      </c>
      <c r="C45" s="117" t="str">
        <f aca="false">Client_Register!$F$34</f>
        <v>Annual, renews 31-Mar</v>
      </c>
      <c r="D45" s="60" t="n">
        <f aca="false">12*Client_Register!$T$34</f>
        <v>210253.355293128</v>
      </c>
      <c r="E45" s="97" t="n">
        <f aca="false">Client_Register!$J$34</f>
        <v>46477</v>
      </c>
      <c r="F45" s="63" t="n">
        <f aca="false">Client_Register!$N$34</f>
        <v>0.9</v>
      </c>
      <c r="G45" s="60" t="n">
        <f aca="false">D45*F45</f>
        <v>189228.019763815</v>
      </c>
      <c r="H45" s="60" t="n">
        <f aca="false">D45-G45</f>
        <v>21025.3355293128</v>
      </c>
      <c r="I45" s="63" t="n">
        <f aca="false">Client_Register!$R$34</f>
        <v>0.0989583333333333</v>
      </c>
    </row>
    <row r="46" customFormat="false" ht="15" hidden="false" customHeight="false" outlineLevel="0" collapsed="false">
      <c r="A46" s="117" t="str">
        <f aca="false">Client_Register!$A$37</f>
        <v>R-QFS</v>
      </c>
      <c r="B46" s="117" t="str">
        <f aca="false">Client_Register!$B$37</f>
        <v>QFS</v>
      </c>
      <c r="C46" s="117" t="str">
        <f aca="false">Client_Register!$F$37</f>
        <v>12 months from Apr-26</v>
      </c>
      <c r="D46" s="60" t="n">
        <f aca="false">12*Client_Register!$T$37</f>
        <v>270352.237771327</v>
      </c>
      <c r="E46" s="97" t="n">
        <f aca="false">Client_Register!$J$37</f>
        <v>46477</v>
      </c>
      <c r="F46" s="63" t="n">
        <f aca="false">Client_Register!$N$37</f>
        <v>0.9</v>
      </c>
      <c r="G46" s="60" t="n">
        <f aca="false">D46*F46</f>
        <v>243317.013994194</v>
      </c>
      <c r="H46" s="60" t="n">
        <f aca="false">D46-G46</f>
        <v>27035.2237771327</v>
      </c>
      <c r="I46" s="63" t="n">
        <f aca="false">Client_Register!$R$37</f>
        <v>0.141116279069768</v>
      </c>
    </row>
    <row r="47" customFormat="false" ht="15" hidden="false" customHeight="false" outlineLevel="0" collapsed="false">
      <c r="A47" s="117" t="str">
        <f aca="false">Client_Register!$A$36</f>
        <v>R-PEL</v>
      </c>
      <c r="B47" s="117" t="str">
        <f aca="false">Client_Register!$B$36</f>
        <v>PEL</v>
      </c>
      <c r="C47" s="117" t="str">
        <f aca="false">Client_Register!$F$36</f>
        <v>12 months from Jun-26</v>
      </c>
      <c r="D47" s="60" t="n">
        <f aca="false">12*Client_Register!$T$36</f>
        <v>161194.239058065</v>
      </c>
      <c r="E47" s="97" t="n">
        <f aca="false">Client_Register!$J$36</f>
        <v>46538</v>
      </c>
      <c r="F47" s="63" t="n">
        <f aca="false">Client_Register!$N$36</f>
        <v>0.85</v>
      </c>
      <c r="G47" s="60" t="n">
        <f aca="false">D47*F47</f>
        <v>137015.103199355</v>
      </c>
      <c r="H47" s="60" t="n">
        <f aca="false">D47-G47</f>
        <v>24179.1358587098</v>
      </c>
      <c r="I47" s="63" t="n">
        <f aca="false">Client_Register!$R$36</f>
        <v>0.065952380952381</v>
      </c>
    </row>
    <row r="48" customFormat="false" ht="15" hidden="false" customHeight="false" outlineLevel="0" collapsed="false">
      <c r="A48" s="117" t="str">
        <f aca="false">Client_Register!$A$35</f>
        <v>R-RVM</v>
      </c>
      <c r="B48" s="117" t="str">
        <f aca="false">Client_Register!$B$35</f>
        <v>RVM</v>
      </c>
      <c r="C48" s="117" t="str">
        <f aca="false">Client_Register!$F$35</f>
        <v>Annual, renews 30-Jun</v>
      </c>
      <c r="D48" s="60" t="n">
        <f aca="false">12*Client_Register!$T$35</f>
        <v>252304.026351754</v>
      </c>
      <c r="E48" s="97" t="n">
        <f aca="false">Client_Register!$J$35</f>
        <v>46568</v>
      </c>
      <c r="F48" s="63" t="n">
        <f aca="false">Client_Register!$N$35</f>
        <v>0.9</v>
      </c>
      <c r="G48" s="60" t="n">
        <f aca="false">D48*F48</f>
        <v>227073.623716578</v>
      </c>
      <c r="H48" s="60" t="n">
        <f aca="false">D48-G48</f>
        <v>25230.4026351754</v>
      </c>
      <c r="I48" s="63" t="n">
        <f aca="false">Client_Register!$R$35</f>
        <v>0.0941447368421051</v>
      </c>
    </row>
    <row r="49" customFormat="false" ht="15" hidden="false" customHeight="false" outlineLevel="0" collapsed="false">
      <c r="A49" s="117" t="str">
        <f aca="false">Client_Register!$A$38</f>
        <v>R-HOC</v>
      </c>
      <c r="B49" s="117" t="str">
        <f aca="false">Client_Register!$B$38</f>
        <v>HOC</v>
      </c>
      <c r="C49" s="117" t="str">
        <f aca="false">Client_Register!$F$38</f>
        <v>Annual, renews 30-Jun</v>
      </c>
      <c r="D49" s="60" t="n">
        <f aca="false">12*Client_Register!$T$38</f>
        <v>114379.792903254</v>
      </c>
      <c r="E49" s="97" t="n">
        <f aca="false">Client_Register!$J$38</f>
        <v>46568</v>
      </c>
      <c r="F49" s="63" t="n">
        <f aca="false">Client_Register!$N$38</f>
        <v>0.9</v>
      </c>
      <c r="G49" s="60" t="n">
        <f aca="false">D49*F49</f>
        <v>102941.813612928</v>
      </c>
      <c r="H49" s="60" t="n">
        <f aca="false">D49-G49</f>
        <v>11437.9792903254</v>
      </c>
      <c r="I49" s="63" t="n">
        <f aca="false">Client_Register!$R$38</f>
        <v>0.0735526315789474</v>
      </c>
    </row>
    <row r="50" customFormat="false" ht="15" hidden="false" customHeight="false" outlineLevel="0" collapsed="false">
      <c r="A50" s="117" t="str">
        <f aca="false">Client_Register!$A$40</f>
        <v>R-LIN</v>
      </c>
      <c r="B50" s="117" t="str">
        <f aca="false">Client_Register!$B$40</f>
        <v>LIN</v>
      </c>
      <c r="C50" s="117" t="str">
        <f aca="false">Client_Register!$F$40</f>
        <v>Annual, renews 30-Sep</v>
      </c>
      <c r="D50" s="60" t="n">
        <f aca="false">12*Client_Register!$T$40</f>
        <v>192000</v>
      </c>
      <c r="E50" s="97" t="n">
        <f aca="false">Client_Register!$J$40</f>
        <v>46660</v>
      </c>
      <c r="F50" s="63" t="n">
        <f aca="false">Client_Register!$N$40</f>
        <v>0.9</v>
      </c>
      <c r="G50" s="60" t="n">
        <f aca="false">D50*F50</f>
        <v>172800</v>
      </c>
      <c r="H50" s="60" t="n">
        <f aca="false">D50-G50</f>
        <v>19200</v>
      </c>
      <c r="I50" s="63" t="n">
        <f aca="false">Client_Register!$R$40</f>
        <v>0.0497727272727273</v>
      </c>
    </row>
    <row r="51" customFormat="false" ht="15" hidden="false" customHeight="false" outlineLevel="0" collapsed="false">
      <c r="A51" s="79" t="s">
        <v>499</v>
      </c>
      <c r="D51" s="80" t="n">
        <f aca="false">SUM(D40:D50)</f>
        <v>2449193.04619829</v>
      </c>
      <c r="G51" s="80" t="n">
        <f aca="false">SUM(G40:G50)</f>
        <v>2095184.96910763</v>
      </c>
      <c r="H51" s="80" t="n">
        <f aca="false">SUM(H40:H50)</f>
        <v>354008.077090656</v>
      </c>
    </row>
    <row r="53" customFormat="false" ht="15" hidden="false" customHeight="false" outlineLevel="0" collapsed="false">
      <c r="A53" s="20" t="s">
        <v>1174</v>
      </c>
    </row>
    <row r="54" customFormat="false" ht="15" hidden="false" customHeight="false" outlineLevel="0" collapsed="false">
      <c r="A54" s="0" t="s">
        <v>1175</v>
      </c>
      <c r="D54" s="118" t="n">
        <v>19</v>
      </c>
    </row>
    <row r="55" customFormat="false" ht="15" hidden="false" customHeight="false" outlineLevel="0" collapsed="false">
      <c r="A55" s="0" t="s">
        <v>1176</v>
      </c>
      <c r="D55" s="103" t="n">
        <v>3520000</v>
      </c>
    </row>
    <row r="56" customFormat="false" ht="15" hidden="false" customHeight="false" outlineLevel="0" collapsed="false">
      <c r="A56" s="0" t="s">
        <v>1177</v>
      </c>
      <c r="D56" s="118" t="n">
        <v>8</v>
      </c>
    </row>
    <row r="57" customFormat="false" ht="15" hidden="false" customHeight="false" outlineLevel="0" collapsed="false">
      <c r="A57" s="0" t="s">
        <v>1178</v>
      </c>
      <c r="D57" s="103" t="n">
        <v>1155000</v>
      </c>
    </row>
    <row r="58" customFormat="false" ht="15" hidden="false" customHeight="false" outlineLevel="0" collapsed="false">
      <c r="A58" s="0" t="s">
        <v>1179</v>
      </c>
      <c r="D58" s="118" t="n">
        <v>8</v>
      </c>
    </row>
    <row r="59" customFormat="false" ht="15" hidden="false" customHeight="false" outlineLevel="0" collapsed="false">
      <c r="A59" s="0" t="s">
        <v>1180</v>
      </c>
      <c r="D59" s="103" t="n">
        <v>1420000</v>
      </c>
    </row>
    <row r="60" customFormat="false" ht="15" hidden="false" customHeight="false" outlineLevel="0" collapsed="false">
      <c r="A60" s="0" t="s">
        <v>1181</v>
      </c>
      <c r="D60" s="118" t="n">
        <v>3</v>
      </c>
    </row>
    <row r="61" customFormat="false" ht="15" hidden="false" customHeight="false" outlineLevel="0" collapsed="false">
      <c r="A61" s="5" t="s">
        <v>1182</v>
      </c>
      <c r="D61" s="37" t="n">
        <f aca="false">IF(D56+D58=0,0,D56/(D56+D58))</f>
        <v>0.5</v>
      </c>
    </row>
    <row r="62" customFormat="false" ht="15" hidden="false" customHeight="false" outlineLevel="0" collapsed="false">
      <c r="A62" s="5" t="s">
        <v>1183</v>
      </c>
      <c r="D62" s="37" t="n">
        <f aca="false">IF(D57+D59=0,0,D57/(D57+D59))</f>
        <v>0.448543689320388</v>
      </c>
    </row>
    <row r="63" customFormat="false" ht="15" hidden="false" customHeight="false" outlineLevel="0" collapsed="false">
      <c r="A63" s="5" t="s">
        <v>1184</v>
      </c>
      <c r="D63" s="119" t="n">
        <f aca="false">AVERAGE(YEAR(Assumptions!$C$9)-Client_Register!$G$7,YEAR(Assumptions!$C$9)-Client_Register!$G$8,YEAR(Assumptions!$C$9)-Client_Register!$G$12,YEAR(Assumptions!$C$9)-Client_Register!$G$9,YEAR(Assumptions!$C$9)-Client_Register!$G$14,YEAR(Assumptions!$C$9)-Client_Register!$G$15,YEAR(Assumptions!$C$9)-Client_Register!$G$17,YEAR(Assumptions!$C$9)-Client_Register!$G$18,YEAR(Assumptions!$C$9)-Client_Register!$G$19,YEAR(Assumptions!$C$9)-Client_Register!$G$23)</f>
        <v>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8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1185</v>
      </c>
    </row>
    <row r="3" customFormat="false" ht="15" hidden="false" customHeight="false" outlineLevel="0" collapsed="false">
      <c r="A3" s="49" t="s">
        <v>1186</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1187</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1188</v>
      </c>
      <c r="B9" s="58" t="s">
        <v>1189</v>
      </c>
      <c r="C9" s="120" t="n">
        <f aca="false">AVERAGE(E9:P9)</f>
        <v>0.862689166666667</v>
      </c>
      <c r="D9" s="120" t="n">
        <f aca="false">AVERAGE(Q9:AB9)</f>
        <v>0.85648</v>
      </c>
      <c r="E9" s="121" t="n">
        <f aca="false">IF(E$5="A",Inputs_Actuals!E9,INDEX(Inputs_Actuals!$E$10:$AB$10,Assumptions!$C$10)*(1+Assumptions!$F$123))</f>
        <v>0.8694</v>
      </c>
      <c r="F9" s="121" t="n">
        <f aca="false">IF(F$5="A",Inputs_Actuals!F9,INDEX(Inputs_Actuals!$E$10:$AB$10,Assumptions!$C$10)*(1+Assumptions!$F$123))</f>
        <v>0.87125</v>
      </c>
      <c r="G9" s="121" t="n">
        <f aca="false">IF(G$5="A",Inputs_Actuals!G9,INDEX(Inputs_Actuals!$E$10:$AB$10,Assumptions!$C$10)*(1+Assumptions!$F$123))</f>
        <v>0.87231</v>
      </c>
      <c r="H9" s="121" t="n">
        <f aca="false">IF(H$5="A",Inputs_Actuals!H9,INDEX(Inputs_Actuals!$E$10:$AB$10,Assumptions!$C$10)*(1+Assumptions!$F$123))</f>
        <v>0.86729</v>
      </c>
      <c r="I9" s="121" t="n">
        <f aca="false">IF(I$5="A",Inputs_Actuals!I9,INDEX(Inputs_Actuals!$E$10:$AB$10,Assumptions!$C$10)*(1+Assumptions!$F$123))</f>
        <v>0.86674</v>
      </c>
      <c r="J9" s="121" t="n">
        <f aca="false">IF(J$5="A",Inputs_Actuals!J9,INDEX(Inputs_Actuals!$E$10:$AB$10,Assumptions!$C$10)*(1+Assumptions!$F$123))</f>
        <v>0.8645</v>
      </c>
      <c r="K9" s="121" t="n">
        <f aca="false">IF(K$5="A",Inputs_Actuals!K9,INDEX(Inputs_Actuals!$E$10:$AB$10,Assumptions!$C$10)*(1+Assumptions!$F$123))</f>
        <v>0.85875</v>
      </c>
      <c r="L9" s="121" t="n">
        <f aca="false">IF(L$5="A",Inputs_Actuals!L9,INDEX(Inputs_Actuals!$E$10:$AB$10,Assumptions!$C$10)*(1+Assumptions!$F$123))</f>
        <v>0.85611</v>
      </c>
      <c r="M9" s="121" t="n">
        <f aca="false">IF(M$5="A",Inputs_Actuals!M9,INDEX(Inputs_Actuals!$E$10:$AB$10,Assumptions!$C$10)*(1+Assumptions!$F$123))</f>
        <v>0.85648</v>
      </c>
      <c r="N9" s="121" t="n">
        <f aca="false">IF(N$5="A",Inputs_Actuals!N9,INDEX(Inputs_Actuals!$E$10:$AB$10,Assumptions!$C$10)*(1+Assumptions!$F$123))</f>
        <v>0.85648</v>
      </c>
      <c r="O9" s="121" t="n">
        <f aca="false">IF(O$5="A",Inputs_Actuals!O9,INDEX(Inputs_Actuals!$E$10:$AB$10,Assumptions!$C$10)*(1+Assumptions!$F$123))</f>
        <v>0.85648</v>
      </c>
      <c r="P9" s="121" t="n">
        <f aca="false">IF(P$5="A",Inputs_Actuals!P9,INDEX(Inputs_Actuals!$E$10:$AB$10,Assumptions!$C$10)*(1+Assumptions!$F$123))</f>
        <v>0.85648</v>
      </c>
      <c r="Q9" s="121" t="n">
        <f aca="false">IF(Q$5="A",Inputs_Actuals!Q9,INDEX(Inputs_Actuals!$E$10:$AB$10,Assumptions!$C$10)*(1+Assumptions!$F$123))</f>
        <v>0.85648</v>
      </c>
      <c r="R9" s="121" t="n">
        <f aca="false">IF(R$5="A",Inputs_Actuals!R9,INDEX(Inputs_Actuals!$E$10:$AB$10,Assumptions!$C$10)*(1+Assumptions!$F$123))</f>
        <v>0.85648</v>
      </c>
      <c r="S9" s="121" t="n">
        <f aca="false">IF(S$5="A",Inputs_Actuals!S9,INDEX(Inputs_Actuals!$E$10:$AB$10,Assumptions!$C$10)*(1+Assumptions!$F$123))</f>
        <v>0.85648</v>
      </c>
      <c r="T9" s="121" t="n">
        <f aca="false">IF(T$5="A",Inputs_Actuals!T9,INDEX(Inputs_Actuals!$E$10:$AB$10,Assumptions!$C$10)*(1+Assumptions!$F$123))</f>
        <v>0.85648</v>
      </c>
      <c r="U9" s="121" t="n">
        <f aca="false">IF(U$5="A",Inputs_Actuals!U9,INDEX(Inputs_Actuals!$E$10:$AB$10,Assumptions!$C$10)*(1+Assumptions!$F$123))</f>
        <v>0.85648</v>
      </c>
      <c r="V9" s="121" t="n">
        <f aca="false">IF(V$5="A",Inputs_Actuals!V9,INDEX(Inputs_Actuals!$E$10:$AB$10,Assumptions!$C$10)*(1+Assumptions!$F$123))</f>
        <v>0.85648</v>
      </c>
      <c r="W9" s="121" t="n">
        <f aca="false">IF(W$5="A",Inputs_Actuals!W9,INDEX(Inputs_Actuals!$E$10:$AB$10,Assumptions!$C$10)*(1+Assumptions!$F$123))</f>
        <v>0.85648</v>
      </c>
      <c r="X9" s="121" t="n">
        <f aca="false">IF(X$5="A",Inputs_Actuals!X9,INDEX(Inputs_Actuals!$E$10:$AB$10,Assumptions!$C$10)*(1+Assumptions!$F$123))</f>
        <v>0.85648</v>
      </c>
      <c r="Y9" s="121" t="n">
        <f aca="false">IF(Y$5="A",Inputs_Actuals!Y9,INDEX(Inputs_Actuals!$E$10:$AB$10,Assumptions!$C$10)*(1+Assumptions!$F$123))</f>
        <v>0.85648</v>
      </c>
      <c r="Z9" s="121" t="n">
        <f aca="false">IF(Z$5="A",Inputs_Actuals!Z9,INDEX(Inputs_Actuals!$E$10:$AB$10,Assumptions!$C$10)*(1+Assumptions!$F$123))</f>
        <v>0.85648</v>
      </c>
      <c r="AA9" s="121" t="n">
        <f aca="false">IF(AA$5="A",Inputs_Actuals!AA9,INDEX(Inputs_Actuals!$E$10:$AB$10,Assumptions!$C$10)*(1+Assumptions!$F$123))</f>
        <v>0.85648</v>
      </c>
      <c r="AB9" s="121" t="n">
        <f aca="false">IF(AB$5="A",Inputs_Actuals!AB9,INDEX(Inputs_Actuals!$E$10:$AB$10,Assumptions!$C$10)*(1+Assumptions!$F$123))</f>
        <v>0.85648</v>
      </c>
    </row>
    <row r="10" customFormat="false" ht="15" hidden="false" customHeight="false" outlineLevel="0" collapsed="false">
      <c r="A10" s="28" t="s">
        <v>1190</v>
      </c>
      <c r="B10" s="58" t="s">
        <v>1189</v>
      </c>
      <c r="C10" s="120" t="n">
        <f aca="false">P10</f>
        <v>0.85648</v>
      </c>
      <c r="D10" s="120" t="n">
        <f aca="false">AB10</f>
        <v>0.85648</v>
      </c>
      <c r="E10" s="121" t="n">
        <f aca="false">IF(E$5="A",Inputs_Actuals!E10,INDEX(Inputs_Actuals!$E$10:$AB$10,Assumptions!$C$10)*(1+Assumptions!$F$123))</f>
        <v>0.8662</v>
      </c>
      <c r="F10" s="121" t="n">
        <f aca="false">IF(F$5="A",Inputs_Actuals!F10,INDEX(Inputs_Actuals!$E$10:$AB$10,Assumptions!$C$10)*(1+Assumptions!$F$123))</f>
        <v>0.8763</v>
      </c>
      <c r="G10" s="121" t="n">
        <f aca="false">IF(G$5="A",Inputs_Actuals!G10,INDEX(Inputs_Actuals!$E$10:$AB$10,Assumptions!$C$10)*(1+Assumptions!$F$123))</f>
        <v>0.86833</v>
      </c>
      <c r="H10" s="121" t="n">
        <f aca="false">IF(H$5="A",Inputs_Actuals!H10,INDEX(Inputs_Actuals!$E$10:$AB$10,Assumptions!$C$10)*(1+Assumptions!$F$123))</f>
        <v>0.86625</v>
      </c>
      <c r="I10" s="121" t="n">
        <f aca="false">IF(I$5="A",Inputs_Actuals!I10,INDEX(Inputs_Actuals!$E$10:$AB$10,Assumptions!$C$10)*(1+Assumptions!$F$123))</f>
        <v>0.86723</v>
      </c>
      <c r="J10" s="121" t="n">
        <f aca="false">IF(J$5="A",Inputs_Actuals!J10,INDEX(Inputs_Actuals!$E$10:$AB$10,Assumptions!$C$10)*(1+Assumptions!$F$123))</f>
        <v>0.86178</v>
      </c>
      <c r="K10" s="121" t="n">
        <f aca="false">IF(K$5="A",Inputs_Actuals!K10,INDEX(Inputs_Actuals!$E$10:$AB$10,Assumptions!$C$10)*(1+Assumptions!$F$123))</f>
        <v>0.85573</v>
      </c>
      <c r="L10" s="121" t="n">
        <f aca="false">IF(L$5="A",Inputs_Actuals!L10,INDEX(Inputs_Actuals!$E$10:$AB$10,Assumptions!$C$10)*(1+Assumptions!$F$123))</f>
        <v>0.85648</v>
      </c>
      <c r="M10" s="121" t="n">
        <f aca="false">IF(M$5="A",Inputs_Actuals!M10,INDEX(Inputs_Actuals!$E$10:$AB$10,Assumptions!$C$10)*(1+Assumptions!$F$123))</f>
        <v>0.85648</v>
      </c>
      <c r="N10" s="121" t="n">
        <f aca="false">IF(N$5="A",Inputs_Actuals!N10,INDEX(Inputs_Actuals!$E$10:$AB$10,Assumptions!$C$10)*(1+Assumptions!$F$123))</f>
        <v>0.85648</v>
      </c>
      <c r="O10" s="121" t="n">
        <f aca="false">IF(O$5="A",Inputs_Actuals!O10,INDEX(Inputs_Actuals!$E$10:$AB$10,Assumptions!$C$10)*(1+Assumptions!$F$123))</f>
        <v>0.85648</v>
      </c>
      <c r="P10" s="121" t="n">
        <f aca="false">IF(P$5="A",Inputs_Actuals!P10,INDEX(Inputs_Actuals!$E$10:$AB$10,Assumptions!$C$10)*(1+Assumptions!$F$123))</f>
        <v>0.85648</v>
      </c>
      <c r="Q10" s="121" t="n">
        <f aca="false">IF(Q$5="A",Inputs_Actuals!Q10,INDEX(Inputs_Actuals!$E$10:$AB$10,Assumptions!$C$10)*(1+Assumptions!$F$123))</f>
        <v>0.85648</v>
      </c>
      <c r="R10" s="121" t="n">
        <f aca="false">IF(R$5="A",Inputs_Actuals!R10,INDEX(Inputs_Actuals!$E$10:$AB$10,Assumptions!$C$10)*(1+Assumptions!$F$123))</f>
        <v>0.85648</v>
      </c>
      <c r="S10" s="121" t="n">
        <f aca="false">IF(S$5="A",Inputs_Actuals!S10,INDEX(Inputs_Actuals!$E$10:$AB$10,Assumptions!$C$10)*(1+Assumptions!$F$123))</f>
        <v>0.85648</v>
      </c>
      <c r="T10" s="121" t="n">
        <f aca="false">IF(T$5="A",Inputs_Actuals!T10,INDEX(Inputs_Actuals!$E$10:$AB$10,Assumptions!$C$10)*(1+Assumptions!$F$123))</f>
        <v>0.85648</v>
      </c>
      <c r="U10" s="121" t="n">
        <f aca="false">IF(U$5="A",Inputs_Actuals!U10,INDEX(Inputs_Actuals!$E$10:$AB$10,Assumptions!$C$10)*(1+Assumptions!$F$123))</f>
        <v>0.85648</v>
      </c>
      <c r="V10" s="121" t="n">
        <f aca="false">IF(V$5="A",Inputs_Actuals!V10,INDEX(Inputs_Actuals!$E$10:$AB$10,Assumptions!$C$10)*(1+Assumptions!$F$123))</f>
        <v>0.85648</v>
      </c>
      <c r="W10" s="121" t="n">
        <f aca="false">IF(W$5="A",Inputs_Actuals!W10,INDEX(Inputs_Actuals!$E$10:$AB$10,Assumptions!$C$10)*(1+Assumptions!$F$123))</f>
        <v>0.85648</v>
      </c>
      <c r="X10" s="121" t="n">
        <f aca="false">IF(X$5="A",Inputs_Actuals!X10,INDEX(Inputs_Actuals!$E$10:$AB$10,Assumptions!$C$10)*(1+Assumptions!$F$123))</f>
        <v>0.85648</v>
      </c>
      <c r="Y10" s="121" t="n">
        <f aca="false">IF(Y$5="A",Inputs_Actuals!Y10,INDEX(Inputs_Actuals!$E$10:$AB$10,Assumptions!$C$10)*(1+Assumptions!$F$123))</f>
        <v>0.85648</v>
      </c>
      <c r="Z10" s="121" t="n">
        <f aca="false">IF(Z$5="A",Inputs_Actuals!Z10,INDEX(Inputs_Actuals!$E$10:$AB$10,Assumptions!$C$10)*(1+Assumptions!$F$123))</f>
        <v>0.85648</v>
      </c>
      <c r="AA10" s="121" t="n">
        <f aca="false">IF(AA$5="A",Inputs_Actuals!AA10,INDEX(Inputs_Actuals!$E$10:$AB$10,Assumptions!$C$10)*(1+Assumptions!$F$123))</f>
        <v>0.85648</v>
      </c>
      <c r="AB10" s="121" t="n">
        <f aca="false">IF(AB$5="A",Inputs_Actuals!AB10,INDEX(Inputs_Actuals!$E$10:$AB$10,Assumptions!$C$10)*(1+Assumptions!$F$123))</f>
        <v>0.85648</v>
      </c>
    </row>
    <row r="11" customFormat="false" ht="15" hidden="false" customHeight="false" outlineLevel="0" collapsed="false">
      <c r="A11" s="28" t="s">
        <v>1191</v>
      </c>
      <c r="B11" s="58" t="s">
        <v>1189</v>
      </c>
      <c r="C11" s="122" t="n">
        <f aca="false">AVERAGE(E11:P11)</f>
        <v>1.16253333333333</v>
      </c>
      <c r="D11" s="122" t="n">
        <f aca="false">AVERAGE(Q11:AB11)</f>
        <v>1.1596</v>
      </c>
      <c r="E11" s="123" t="n">
        <f aca="false">IF(E$5="A",Inputs_Actuals!E11,INDEX(Inputs_Actuals!$E$12:$AB$12,Assumptions!$C$10)*(1+Assumptions!$F$123))</f>
        <v>1.18345</v>
      </c>
      <c r="F11" s="123" t="n">
        <f aca="false">IF(F$5="A",Inputs_Actuals!F11,INDEX(Inputs_Actuals!$E$12:$AB$12,Assumptions!$C$10)*(1+Assumptions!$F$123))</f>
        <v>1.1862</v>
      </c>
      <c r="G11" s="123" t="n">
        <f aca="false">IF(G$5="A",Inputs_Actuals!G11,INDEX(Inputs_Actuals!$E$12:$AB$12,Assumptions!$C$10)*(1+Assumptions!$F$123))</f>
        <v>1.16515</v>
      </c>
      <c r="H11" s="123" t="n">
        <f aca="false">IF(H$5="A",Inputs_Actuals!H11,INDEX(Inputs_Actuals!$E$12:$AB$12,Assumptions!$C$10)*(1+Assumptions!$F$123))</f>
        <v>1.16</v>
      </c>
      <c r="I11" s="123" t="n">
        <f aca="false">IF(I$5="A",Inputs_Actuals!I11,INDEX(Inputs_Actuals!$E$12:$AB$12,Assumptions!$C$10)*(1+Assumptions!$F$123))</f>
        <v>1.1673</v>
      </c>
      <c r="J11" s="123" t="n">
        <f aca="false">IF(J$5="A",Inputs_Actuals!J11,INDEX(Inputs_Actuals!$E$12:$AB$12,Assumptions!$C$10)*(1+Assumptions!$F$123))</f>
        <v>1.1519</v>
      </c>
      <c r="K11" s="123" t="n">
        <f aca="false">IF(K$5="A",Inputs_Actuals!K11,INDEX(Inputs_Actuals!$E$12:$AB$12,Assumptions!$C$10)*(1+Assumptions!$F$123))</f>
        <v>1.14395</v>
      </c>
      <c r="L11" s="123" t="n">
        <f aca="false">IF(L$5="A",Inputs_Actuals!L11,INDEX(Inputs_Actuals!$E$12:$AB$12,Assumptions!$C$10)*(1+Assumptions!$F$123))</f>
        <v>1.15405</v>
      </c>
      <c r="M11" s="123" t="n">
        <f aca="false">IF(M$5="A",Inputs_Actuals!M11,INDEX(Inputs_Actuals!$E$12:$AB$12,Assumptions!$C$10)*(1+Assumptions!$F$123))</f>
        <v>1.1596</v>
      </c>
      <c r="N11" s="123" t="n">
        <f aca="false">IF(N$5="A",Inputs_Actuals!N11,INDEX(Inputs_Actuals!$E$12:$AB$12,Assumptions!$C$10)*(1+Assumptions!$F$123))</f>
        <v>1.1596</v>
      </c>
      <c r="O11" s="123" t="n">
        <f aca="false">IF(O$5="A",Inputs_Actuals!O11,INDEX(Inputs_Actuals!$E$12:$AB$12,Assumptions!$C$10)*(1+Assumptions!$F$123))</f>
        <v>1.1596</v>
      </c>
      <c r="P11" s="123" t="n">
        <f aca="false">IF(P$5="A",Inputs_Actuals!P11,INDEX(Inputs_Actuals!$E$12:$AB$12,Assumptions!$C$10)*(1+Assumptions!$F$123))</f>
        <v>1.1596</v>
      </c>
      <c r="Q11" s="123" t="n">
        <f aca="false">IF(Q$5="A",Inputs_Actuals!Q11,INDEX(Inputs_Actuals!$E$12:$AB$12,Assumptions!$C$10)*(1+Assumptions!$F$123))</f>
        <v>1.1596</v>
      </c>
      <c r="R11" s="123" t="n">
        <f aca="false">IF(R$5="A",Inputs_Actuals!R11,INDEX(Inputs_Actuals!$E$12:$AB$12,Assumptions!$C$10)*(1+Assumptions!$F$123))</f>
        <v>1.1596</v>
      </c>
      <c r="S11" s="123" t="n">
        <f aca="false">IF(S$5="A",Inputs_Actuals!S11,INDEX(Inputs_Actuals!$E$12:$AB$12,Assumptions!$C$10)*(1+Assumptions!$F$123))</f>
        <v>1.1596</v>
      </c>
      <c r="T11" s="123" t="n">
        <f aca="false">IF(T$5="A",Inputs_Actuals!T11,INDEX(Inputs_Actuals!$E$12:$AB$12,Assumptions!$C$10)*(1+Assumptions!$F$123))</f>
        <v>1.1596</v>
      </c>
      <c r="U11" s="123" t="n">
        <f aca="false">IF(U$5="A",Inputs_Actuals!U11,INDEX(Inputs_Actuals!$E$12:$AB$12,Assumptions!$C$10)*(1+Assumptions!$F$123))</f>
        <v>1.1596</v>
      </c>
      <c r="V11" s="123" t="n">
        <f aca="false">IF(V$5="A",Inputs_Actuals!V11,INDEX(Inputs_Actuals!$E$12:$AB$12,Assumptions!$C$10)*(1+Assumptions!$F$123))</f>
        <v>1.1596</v>
      </c>
      <c r="W11" s="123" t="n">
        <f aca="false">IF(W$5="A",Inputs_Actuals!W11,INDEX(Inputs_Actuals!$E$12:$AB$12,Assumptions!$C$10)*(1+Assumptions!$F$123))</f>
        <v>1.1596</v>
      </c>
      <c r="X11" s="123" t="n">
        <f aca="false">IF(X$5="A",Inputs_Actuals!X11,INDEX(Inputs_Actuals!$E$12:$AB$12,Assumptions!$C$10)*(1+Assumptions!$F$123))</f>
        <v>1.1596</v>
      </c>
      <c r="Y11" s="123" t="n">
        <f aca="false">IF(Y$5="A",Inputs_Actuals!Y11,INDEX(Inputs_Actuals!$E$12:$AB$12,Assumptions!$C$10)*(1+Assumptions!$F$123))</f>
        <v>1.1596</v>
      </c>
      <c r="Z11" s="123" t="n">
        <f aca="false">IF(Z$5="A",Inputs_Actuals!Z11,INDEX(Inputs_Actuals!$E$12:$AB$12,Assumptions!$C$10)*(1+Assumptions!$F$123))</f>
        <v>1.1596</v>
      </c>
      <c r="AA11" s="123" t="n">
        <f aca="false">IF(AA$5="A",Inputs_Actuals!AA11,INDEX(Inputs_Actuals!$E$12:$AB$12,Assumptions!$C$10)*(1+Assumptions!$F$123))</f>
        <v>1.1596</v>
      </c>
      <c r="AB11" s="123" t="n">
        <f aca="false">IF(AB$5="A",Inputs_Actuals!AB11,INDEX(Inputs_Actuals!$E$12:$AB$12,Assumptions!$C$10)*(1+Assumptions!$F$123))</f>
        <v>1.1596</v>
      </c>
    </row>
    <row r="12" customFormat="false" ht="15" hidden="false" customHeight="false" outlineLevel="0" collapsed="false">
      <c r="A12" s="28" t="s">
        <v>1192</v>
      </c>
      <c r="B12" s="58" t="s">
        <v>1189</v>
      </c>
      <c r="C12" s="122" t="n">
        <f aca="false">P12</f>
        <v>1.1596</v>
      </c>
      <c r="D12" s="122" t="n">
        <f aca="false">AB12</f>
        <v>1.1596</v>
      </c>
      <c r="E12" s="123" t="n">
        <f aca="false">IF(E$5="A",Inputs_Actuals!E12,INDEX(Inputs_Actuals!$E$12:$AB$12,Assumptions!$C$10)*(1+Assumptions!$F$123))</f>
        <v>1.1919</v>
      </c>
      <c r="F12" s="123" t="n">
        <f aca="false">IF(F$5="A",Inputs_Actuals!F12,INDEX(Inputs_Actuals!$E$12:$AB$12,Assumptions!$C$10)*(1+Assumptions!$F$123))</f>
        <v>1.1805</v>
      </c>
      <c r="G12" s="123" t="n">
        <f aca="false">IF(G$5="A",Inputs_Actuals!G12,INDEX(Inputs_Actuals!$E$12:$AB$12,Assumptions!$C$10)*(1+Assumptions!$F$123))</f>
        <v>1.1498</v>
      </c>
      <c r="H12" s="123" t="n">
        <f aca="false">IF(H$5="A",Inputs_Actuals!H12,INDEX(Inputs_Actuals!$E$12:$AB$12,Assumptions!$C$10)*(1+Assumptions!$F$123))</f>
        <v>1.1702</v>
      </c>
      <c r="I12" s="123" t="n">
        <f aca="false">IF(I$5="A",Inputs_Actuals!I12,INDEX(Inputs_Actuals!$E$12:$AB$12,Assumptions!$C$10)*(1+Assumptions!$F$123))</f>
        <v>1.1644</v>
      </c>
      <c r="J12" s="123" t="n">
        <f aca="false">IF(J$5="A",Inputs_Actuals!J12,INDEX(Inputs_Actuals!$E$12:$AB$12,Assumptions!$C$10)*(1+Assumptions!$F$123))</f>
        <v>1.1394</v>
      </c>
      <c r="K12" s="123" t="n">
        <f aca="false">IF(K$5="A",Inputs_Actuals!K12,INDEX(Inputs_Actuals!$E$12:$AB$12,Assumptions!$C$10)*(1+Assumptions!$F$123))</f>
        <v>1.1485</v>
      </c>
      <c r="L12" s="123" t="n">
        <f aca="false">IF(L$5="A",Inputs_Actuals!L12,INDEX(Inputs_Actuals!$E$12:$AB$12,Assumptions!$C$10)*(1+Assumptions!$F$123))</f>
        <v>1.1596</v>
      </c>
      <c r="M12" s="123" t="n">
        <f aca="false">IF(M$5="A",Inputs_Actuals!M12,INDEX(Inputs_Actuals!$E$12:$AB$12,Assumptions!$C$10)*(1+Assumptions!$F$123))</f>
        <v>1.1596</v>
      </c>
      <c r="N12" s="123" t="n">
        <f aca="false">IF(N$5="A",Inputs_Actuals!N12,INDEX(Inputs_Actuals!$E$12:$AB$12,Assumptions!$C$10)*(1+Assumptions!$F$123))</f>
        <v>1.1596</v>
      </c>
      <c r="O12" s="123" t="n">
        <f aca="false">IF(O$5="A",Inputs_Actuals!O12,INDEX(Inputs_Actuals!$E$12:$AB$12,Assumptions!$C$10)*(1+Assumptions!$F$123))</f>
        <v>1.1596</v>
      </c>
      <c r="P12" s="123" t="n">
        <f aca="false">IF(P$5="A",Inputs_Actuals!P12,INDEX(Inputs_Actuals!$E$12:$AB$12,Assumptions!$C$10)*(1+Assumptions!$F$123))</f>
        <v>1.1596</v>
      </c>
      <c r="Q12" s="123" t="n">
        <f aca="false">IF(Q$5="A",Inputs_Actuals!Q12,INDEX(Inputs_Actuals!$E$12:$AB$12,Assumptions!$C$10)*(1+Assumptions!$F$123))</f>
        <v>1.1596</v>
      </c>
      <c r="R12" s="123" t="n">
        <f aca="false">IF(R$5="A",Inputs_Actuals!R12,INDEX(Inputs_Actuals!$E$12:$AB$12,Assumptions!$C$10)*(1+Assumptions!$F$123))</f>
        <v>1.1596</v>
      </c>
      <c r="S12" s="123" t="n">
        <f aca="false">IF(S$5="A",Inputs_Actuals!S12,INDEX(Inputs_Actuals!$E$12:$AB$12,Assumptions!$C$10)*(1+Assumptions!$F$123))</f>
        <v>1.1596</v>
      </c>
      <c r="T12" s="123" t="n">
        <f aca="false">IF(T$5="A",Inputs_Actuals!T12,INDEX(Inputs_Actuals!$E$12:$AB$12,Assumptions!$C$10)*(1+Assumptions!$F$123))</f>
        <v>1.1596</v>
      </c>
      <c r="U12" s="123" t="n">
        <f aca="false">IF(U$5="A",Inputs_Actuals!U12,INDEX(Inputs_Actuals!$E$12:$AB$12,Assumptions!$C$10)*(1+Assumptions!$F$123))</f>
        <v>1.1596</v>
      </c>
      <c r="V12" s="123" t="n">
        <f aca="false">IF(V$5="A",Inputs_Actuals!V12,INDEX(Inputs_Actuals!$E$12:$AB$12,Assumptions!$C$10)*(1+Assumptions!$F$123))</f>
        <v>1.1596</v>
      </c>
      <c r="W12" s="123" t="n">
        <f aca="false">IF(W$5="A",Inputs_Actuals!W12,INDEX(Inputs_Actuals!$E$12:$AB$12,Assumptions!$C$10)*(1+Assumptions!$F$123))</f>
        <v>1.1596</v>
      </c>
      <c r="X12" s="123" t="n">
        <f aca="false">IF(X$5="A",Inputs_Actuals!X12,INDEX(Inputs_Actuals!$E$12:$AB$12,Assumptions!$C$10)*(1+Assumptions!$F$123))</f>
        <v>1.1596</v>
      </c>
      <c r="Y12" s="123" t="n">
        <f aca="false">IF(Y$5="A",Inputs_Actuals!Y12,INDEX(Inputs_Actuals!$E$12:$AB$12,Assumptions!$C$10)*(1+Assumptions!$F$123))</f>
        <v>1.1596</v>
      </c>
      <c r="Z12" s="123" t="n">
        <f aca="false">IF(Z$5="A",Inputs_Actuals!Z12,INDEX(Inputs_Actuals!$E$12:$AB$12,Assumptions!$C$10)*(1+Assumptions!$F$123))</f>
        <v>1.1596</v>
      </c>
      <c r="AA12" s="123" t="n">
        <f aca="false">IF(AA$5="A",Inputs_Actuals!AA12,INDEX(Inputs_Actuals!$E$12:$AB$12,Assumptions!$C$10)*(1+Assumptions!$F$123))</f>
        <v>1.1596</v>
      </c>
      <c r="AB12" s="123" t="n">
        <f aca="false">IF(AB$5="A",Inputs_Actuals!AB12,INDEX(Inputs_Actuals!$E$12:$AB$12,Assumptions!$C$10)*(1+Assumptions!$F$123))</f>
        <v>1.1596</v>
      </c>
    </row>
    <row r="13" customFormat="false" ht="15" hidden="false" customHeight="false" outlineLevel="0" collapsed="false">
      <c r="A13" s="22" t="s">
        <v>1193</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false" outlineLevel="0" collapsed="false">
      <c r="A14" s="28" t="s">
        <v>331</v>
      </c>
      <c r="B14" s="58" t="s">
        <v>1194</v>
      </c>
      <c r="C14" s="59" t="n">
        <f aca="false">SUM(E14:P14)</f>
        <v>811500</v>
      </c>
      <c r="D14" s="59" t="n">
        <f aca="false">SUM(Q14:AB14)</f>
        <v>683240</v>
      </c>
      <c r="E14" s="60" t="n">
        <f aca="false">Clients!E496/1</f>
        <v>71000</v>
      </c>
      <c r="F14" s="60" t="n">
        <f aca="false">Clients!F496/1</f>
        <v>71000</v>
      </c>
      <c r="G14" s="60" t="n">
        <f aca="false">Clients!G496/1</f>
        <v>71000</v>
      </c>
      <c r="H14" s="60" t="n">
        <f aca="false">Clients!H496/1</f>
        <v>71000</v>
      </c>
      <c r="I14" s="60" t="n">
        <f aca="false">Clients!I496/1</f>
        <v>71000</v>
      </c>
      <c r="J14" s="60" t="n">
        <f aca="false">Clients!J496/1</f>
        <v>71000</v>
      </c>
      <c r="K14" s="60" t="n">
        <f aca="false">Clients!K496/1</f>
        <v>71000</v>
      </c>
      <c r="L14" s="60" t="n">
        <f aca="false">Clients!L496/1</f>
        <v>71000</v>
      </c>
      <c r="M14" s="60" t="n">
        <f aca="false">Clients!M496/1</f>
        <v>71000</v>
      </c>
      <c r="N14" s="60" t="n">
        <f aca="false">Clients!N496/1</f>
        <v>57500</v>
      </c>
      <c r="O14" s="60" t="n">
        <f aca="false">Clients!O496/1</f>
        <v>57500</v>
      </c>
      <c r="P14" s="60" t="n">
        <f aca="false">Clients!P496/1</f>
        <v>57500</v>
      </c>
      <c r="Q14" s="60" t="n">
        <f aca="false">Clients!Q496/1</f>
        <v>55246</v>
      </c>
      <c r="R14" s="60" t="n">
        <f aca="false">Clients!R496/1</f>
        <v>55246</v>
      </c>
      <c r="S14" s="60" t="n">
        <f aca="false">Clients!S496/1</f>
        <v>53622</v>
      </c>
      <c r="T14" s="60" t="n">
        <f aca="false">Clients!T496/1</f>
        <v>58022</v>
      </c>
      <c r="U14" s="60" t="n">
        <f aca="false">Clients!U496/1</f>
        <v>58022</v>
      </c>
      <c r="V14" s="60" t="n">
        <f aca="false">Clients!V496/1</f>
        <v>58022</v>
      </c>
      <c r="W14" s="60" t="n">
        <f aca="false">Clients!W496/1</f>
        <v>58022</v>
      </c>
      <c r="X14" s="60" t="n">
        <f aca="false">Clients!X496/1</f>
        <v>58022</v>
      </c>
      <c r="Y14" s="60" t="n">
        <f aca="false">Clients!Y496/1</f>
        <v>58022</v>
      </c>
      <c r="Z14" s="60" t="n">
        <f aca="false">Clients!Z496/1</f>
        <v>56998</v>
      </c>
      <c r="AA14" s="60" t="n">
        <f aca="false">Clients!AA496/1</f>
        <v>56998</v>
      </c>
      <c r="AB14" s="60" t="n">
        <f aca="false">Clients!AB496/1</f>
        <v>56998</v>
      </c>
    </row>
    <row r="15" customFormat="false" ht="15" hidden="false" customHeight="false" outlineLevel="0" collapsed="false">
      <c r="A15" s="28" t="s">
        <v>700</v>
      </c>
      <c r="B15" s="58" t="s">
        <v>1194</v>
      </c>
      <c r="C15" s="59" t="n">
        <f aca="false">SUM(E15:P15)</f>
        <v>152435.86</v>
      </c>
      <c r="D15" s="59" t="n">
        <f aca="false">SUM(Q15:AB15)</f>
        <v>790348.25</v>
      </c>
      <c r="E15" s="60" t="n">
        <f aca="false">Clients!E497/1</f>
        <v>10258.69</v>
      </c>
      <c r="F15" s="60" t="n">
        <f aca="false">Clients!F497/1</f>
        <v>4833.42</v>
      </c>
      <c r="G15" s="60" t="n">
        <f aca="false">Clients!G497/1</f>
        <v>0</v>
      </c>
      <c r="H15" s="60" t="n">
        <f aca="false">Clients!H497/1</f>
        <v>0</v>
      </c>
      <c r="I15" s="60" t="n">
        <f aca="false">Clients!I497/1</f>
        <v>7070</v>
      </c>
      <c r="J15" s="60" t="n">
        <f aca="false">Clients!J497/1</f>
        <v>18120</v>
      </c>
      <c r="K15" s="60" t="n">
        <f aca="false">Clients!K497/1</f>
        <v>19810</v>
      </c>
      <c r="L15" s="60" t="n">
        <f aca="false">Clients!L497/1</f>
        <v>24973.33</v>
      </c>
      <c r="M15" s="60" t="n">
        <f aca="false">Clients!M497/1</f>
        <v>18590.4795238095</v>
      </c>
      <c r="N15" s="60" t="n">
        <f aca="false">Clients!N497/1</f>
        <v>15092.4404761905</v>
      </c>
      <c r="O15" s="60" t="n">
        <f aca="false">Clients!O497/1</f>
        <v>16843.75</v>
      </c>
      <c r="P15" s="60" t="n">
        <f aca="false">Clients!P497/1</f>
        <v>16843.75</v>
      </c>
      <c r="Q15" s="60" t="n">
        <f aca="false">Clients!Q497/1</f>
        <v>28872.25</v>
      </c>
      <c r="R15" s="60" t="n">
        <f aca="false">Clients!R497/1</f>
        <v>50592</v>
      </c>
      <c r="S15" s="60" t="n">
        <f aca="false">Clients!S497/1</f>
        <v>63235.8518518519</v>
      </c>
      <c r="T15" s="60" t="n">
        <f aca="false">Clients!T497/1</f>
        <v>78937.6296296296</v>
      </c>
      <c r="U15" s="60" t="n">
        <f aca="false">Clients!U497/1</f>
        <v>81076.5185185185</v>
      </c>
      <c r="V15" s="60" t="n">
        <f aca="false">Clients!V497/1</f>
        <v>69652.5185185185</v>
      </c>
      <c r="W15" s="60" t="n">
        <f aca="false">Clients!W497/1</f>
        <v>78937.6296296296</v>
      </c>
      <c r="X15" s="60" t="n">
        <f aca="false">Clients!X497/1</f>
        <v>74659.8518518518</v>
      </c>
      <c r="Y15" s="60" t="n">
        <f aca="false">Clients!Y497/1</f>
        <v>60384</v>
      </c>
      <c r="Z15" s="60" t="n">
        <f aca="false">Clients!Z497/1</f>
        <v>71808</v>
      </c>
      <c r="AA15" s="60" t="n">
        <f aca="false">Clients!AA497/1</f>
        <v>71808</v>
      </c>
      <c r="AB15" s="60" t="n">
        <f aca="false">Clients!AB497/1</f>
        <v>60384</v>
      </c>
    </row>
    <row r="16" customFormat="false" ht="15" hidden="false" customHeight="false" outlineLevel="0" collapsed="false">
      <c r="A16" s="28" t="s">
        <v>333</v>
      </c>
      <c r="B16" s="58" t="s">
        <v>1194</v>
      </c>
      <c r="C16" s="59" t="n">
        <f aca="false">SUM(E16:P16)</f>
        <v>197224.873818852</v>
      </c>
      <c r="D16" s="59" t="n">
        <f aca="false">SUM(Q16:AB16)</f>
        <v>223502.528403106</v>
      </c>
      <c r="E16" s="60" t="n">
        <f aca="false">Clients!E498/1</f>
        <v>9664.16</v>
      </c>
      <c r="F16" s="60" t="n">
        <f aca="false">Clients!F498/1</f>
        <v>8800.24</v>
      </c>
      <c r="G16" s="60" t="n">
        <f aca="false">Clients!G498/1</f>
        <v>18847.4</v>
      </c>
      <c r="H16" s="60" t="n">
        <f aca="false">Clients!H498/1</f>
        <v>19746.51</v>
      </c>
      <c r="I16" s="60" t="n">
        <f aca="false">Clients!I498/1</f>
        <v>18602.08</v>
      </c>
      <c r="J16" s="60" t="n">
        <f aca="false">Clients!J498/1</f>
        <v>18210.39</v>
      </c>
      <c r="K16" s="60" t="n">
        <f aca="false">Clients!K498/1</f>
        <v>13610.68</v>
      </c>
      <c r="L16" s="60" t="n">
        <f aca="false">Clients!L498/1</f>
        <v>16047.13</v>
      </c>
      <c r="M16" s="60" t="n">
        <f aca="false">Clients!M498/1</f>
        <v>19536.9343009708</v>
      </c>
      <c r="N16" s="60" t="n">
        <f aca="false">Clients!N498/1</f>
        <v>20278.8431984761</v>
      </c>
      <c r="O16" s="60" t="n">
        <f aca="false">Clients!O498/1</f>
        <v>18795.0254034656</v>
      </c>
      <c r="P16" s="60" t="n">
        <f aca="false">Clients!P498/1</f>
        <v>15085.4809159395</v>
      </c>
      <c r="Q16" s="60" t="n">
        <f aca="false">Clients!Q498/1</f>
        <v>19546.8264196042</v>
      </c>
      <c r="R16" s="60" t="n">
        <f aca="false">Clients!R498/1</f>
        <v>18775.2411661988</v>
      </c>
      <c r="S16" s="60" t="n">
        <f aca="false">Clients!S498/1</f>
        <v>20318.4116730097</v>
      </c>
      <c r="T16" s="60" t="n">
        <f aca="false">Clients!T498/1</f>
        <v>19289.6313351358</v>
      </c>
      <c r="U16" s="60" t="n">
        <f aca="false">Clients!U498/1</f>
        <v>19289.6313351358</v>
      </c>
      <c r="V16" s="60" t="n">
        <f aca="false">Clients!V498/1</f>
        <v>17746.4608283249</v>
      </c>
      <c r="W16" s="60" t="n">
        <f aca="false">Clients!W498/1</f>
        <v>14402.9247302347</v>
      </c>
      <c r="X16" s="60" t="n">
        <f aca="false">Clients!X498/1</f>
        <v>17489.2657438564</v>
      </c>
      <c r="Y16" s="60" t="n">
        <f aca="false">Clients!Y498/1</f>
        <v>20318.4116730097</v>
      </c>
      <c r="Z16" s="60" t="n">
        <f aca="false">Clients!Z498/1</f>
        <v>21089.9969264151</v>
      </c>
      <c r="AA16" s="60" t="n">
        <f aca="false">Clients!AA498/1</f>
        <v>19546.8264196042</v>
      </c>
      <c r="AB16" s="60" t="n">
        <f aca="false">Clients!AB498/1</f>
        <v>15688.9001525771</v>
      </c>
    </row>
    <row r="17" customFormat="false" ht="15" hidden="false" customHeight="false" outlineLevel="0" collapsed="false">
      <c r="A17" s="28" t="s">
        <v>334</v>
      </c>
      <c r="B17" s="58" t="s">
        <v>1194</v>
      </c>
      <c r="C17" s="59" t="n">
        <f aca="false">SUM(E17:P17)</f>
        <v>116769.55</v>
      </c>
      <c r="D17" s="59" t="n">
        <f aca="false">SUM(Q17:AB17)</f>
        <v>108001</v>
      </c>
      <c r="E17" s="60" t="n">
        <f aca="false">Clients!E499/1</f>
        <v>8432.55</v>
      </c>
      <c r="F17" s="60" t="n">
        <f aca="false">Clients!F499/1</f>
        <v>8604.35</v>
      </c>
      <c r="G17" s="60" t="n">
        <f aca="false">Clients!G499/1</f>
        <v>9067.88</v>
      </c>
      <c r="H17" s="60" t="n">
        <f aca="false">Clients!H499/1</f>
        <v>9810.39</v>
      </c>
      <c r="I17" s="60" t="n">
        <f aca="false">Clients!I499/1</f>
        <v>9380.12</v>
      </c>
      <c r="J17" s="60" t="n">
        <f aca="false">Clients!J499/1</f>
        <v>9591.18</v>
      </c>
      <c r="K17" s="60" t="n">
        <f aca="false">Clients!K499/1</f>
        <v>8429.97</v>
      </c>
      <c r="L17" s="60" t="n">
        <f aca="false">Clients!L499/1</f>
        <v>8627.11</v>
      </c>
      <c r="M17" s="60" t="n">
        <f aca="false">Clients!M499/1</f>
        <v>9640</v>
      </c>
      <c r="N17" s="60" t="n">
        <f aca="false">Clients!N499/1</f>
        <v>10604</v>
      </c>
      <c r="O17" s="60" t="n">
        <f aca="false">Clients!O499/1</f>
        <v>13014</v>
      </c>
      <c r="P17" s="60" t="n">
        <f aca="false">Clients!P499/1</f>
        <v>11568</v>
      </c>
      <c r="Q17" s="60" t="n">
        <f aca="false">Clients!Q499/1</f>
        <v>8081.8</v>
      </c>
      <c r="R17" s="60" t="n">
        <f aca="false">Clients!R499/1</f>
        <v>8081.8</v>
      </c>
      <c r="S17" s="60" t="n">
        <f aca="false">Clients!S499/1</f>
        <v>8605.1</v>
      </c>
      <c r="T17" s="60" t="n">
        <f aca="false">Clients!T499/1</f>
        <v>9058</v>
      </c>
      <c r="U17" s="60" t="n">
        <f aca="false">Clients!U499/1</f>
        <v>9058</v>
      </c>
      <c r="V17" s="60" t="n">
        <f aca="false">Clients!V499/1</f>
        <v>8605.1</v>
      </c>
      <c r="W17" s="60" t="n">
        <f aca="false">Clients!W499/1</f>
        <v>7699.3</v>
      </c>
      <c r="X17" s="60" t="n">
        <f aca="false">Clients!X499/1</f>
        <v>8152.2</v>
      </c>
      <c r="Y17" s="60" t="n">
        <f aca="false">Clients!Y499/1</f>
        <v>9058</v>
      </c>
      <c r="Z17" s="60" t="n">
        <f aca="false">Clients!Z499/1</f>
        <v>9523.8</v>
      </c>
      <c r="AA17" s="60" t="n">
        <f aca="false">Clients!AA499/1</f>
        <v>11688.3</v>
      </c>
      <c r="AB17" s="60" t="n">
        <f aca="false">Clients!AB499/1</f>
        <v>10389.6</v>
      </c>
    </row>
    <row r="18" customFormat="false" ht="15" hidden="false" customHeight="false" outlineLevel="0" collapsed="false">
      <c r="A18" s="28" t="s">
        <v>1195</v>
      </c>
      <c r="B18" s="58" t="s">
        <v>1194</v>
      </c>
      <c r="C18" s="59" t="n">
        <f aca="false">SUM(E18:P18)</f>
        <v>0</v>
      </c>
      <c r="D18" s="59" t="n">
        <f aca="false">SUM(Q18:AB18)</f>
        <v>0</v>
      </c>
      <c r="E18" s="60" t="n">
        <f aca="false">Clients!E500/1</f>
        <v>0</v>
      </c>
      <c r="F18" s="60" t="n">
        <f aca="false">Clients!F500/1</f>
        <v>0</v>
      </c>
      <c r="G18" s="60" t="n">
        <f aca="false">Clients!G500/1</f>
        <v>0</v>
      </c>
      <c r="H18" s="60" t="n">
        <f aca="false">Clients!H500/1</f>
        <v>0</v>
      </c>
      <c r="I18" s="60" t="n">
        <f aca="false">Clients!I500/1</f>
        <v>0</v>
      </c>
      <c r="J18" s="60" t="n">
        <f aca="false">Clients!J500/1</f>
        <v>0</v>
      </c>
      <c r="K18" s="60" t="n">
        <f aca="false">Clients!K500/1</f>
        <v>0</v>
      </c>
      <c r="L18" s="60" t="n">
        <f aca="false">Clients!L500/1</f>
        <v>0</v>
      </c>
      <c r="M18" s="60" t="n">
        <f aca="false">Clients!M500/1</f>
        <v>0</v>
      </c>
      <c r="N18" s="60" t="n">
        <f aca="false">Clients!N500/1</f>
        <v>0</v>
      </c>
      <c r="O18" s="60" t="n">
        <f aca="false">Clients!O500/1</f>
        <v>0</v>
      </c>
      <c r="P18" s="60" t="n">
        <f aca="false">Clients!P500/1</f>
        <v>0</v>
      </c>
      <c r="Q18" s="60" t="n">
        <f aca="false">Clients!Q500/1</f>
        <v>0</v>
      </c>
      <c r="R18" s="60" t="n">
        <f aca="false">Clients!R500/1</f>
        <v>0</v>
      </c>
      <c r="S18" s="60" t="n">
        <f aca="false">Clients!S500/1</f>
        <v>0</v>
      </c>
      <c r="T18" s="60" t="n">
        <f aca="false">Clients!T500/1</f>
        <v>0</v>
      </c>
      <c r="U18" s="60" t="n">
        <f aca="false">Clients!U500/1</f>
        <v>0</v>
      </c>
      <c r="V18" s="60" t="n">
        <f aca="false">Clients!V500/1</f>
        <v>0</v>
      </c>
      <c r="W18" s="60" t="n">
        <f aca="false">Clients!W500/1</f>
        <v>0</v>
      </c>
      <c r="X18" s="60" t="n">
        <f aca="false">Clients!X500/1</f>
        <v>0</v>
      </c>
      <c r="Y18" s="60" t="n">
        <f aca="false">Clients!Y500/1</f>
        <v>0</v>
      </c>
      <c r="Z18" s="60" t="n">
        <f aca="false">Clients!Z500/1</f>
        <v>0</v>
      </c>
      <c r="AA18" s="60" t="n">
        <f aca="false">Clients!AA500/1</f>
        <v>0</v>
      </c>
      <c r="AB18" s="60" t="n">
        <f aca="false">Clients!AB500/1</f>
        <v>0</v>
      </c>
    </row>
    <row r="19" customFormat="false" ht="15" hidden="false" customHeight="false" outlineLevel="0" collapsed="false">
      <c r="A19" s="68" t="s">
        <v>800</v>
      </c>
      <c r="B19" s="69"/>
      <c r="C19" s="70" t="n">
        <f aca="false">SUM(E19:P19)</f>
        <v>1277930.28381885</v>
      </c>
      <c r="D19" s="70" t="n">
        <f aca="false">SUM(Q19:AB19)</f>
        <v>1805091.77840311</v>
      </c>
      <c r="E19" s="70" t="n">
        <f aca="false">E14+E15+E16+E17+E18</f>
        <v>99355.4</v>
      </c>
      <c r="F19" s="70" t="n">
        <f aca="false">F14+F15+F16+F17+F18</f>
        <v>93238.01</v>
      </c>
      <c r="G19" s="70" t="n">
        <f aca="false">G14+G15+G16+G17+G18</f>
        <v>98915.28</v>
      </c>
      <c r="H19" s="70" t="n">
        <f aca="false">H14+H15+H16+H17+H18</f>
        <v>100556.9</v>
      </c>
      <c r="I19" s="70" t="n">
        <f aca="false">I14+I15+I16+I17+I18</f>
        <v>106052.2</v>
      </c>
      <c r="J19" s="70" t="n">
        <f aca="false">J14+J15+J16+J17+J18</f>
        <v>116921.57</v>
      </c>
      <c r="K19" s="70" t="n">
        <f aca="false">K14+K15+K16+K17+K18</f>
        <v>112850.65</v>
      </c>
      <c r="L19" s="70" t="n">
        <f aca="false">L14+L15+L16+L17+L18</f>
        <v>120647.57</v>
      </c>
      <c r="M19" s="70" t="n">
        <f aca="false">M14+M15+M16+M17+M18</f>
        <v>118767.41382478</v>
      </c>
      <c r="N19" s="70" t="n">
        <f aca="false">N14+N15+N16+N17+N18</f>
        <v>103475.283674667</v>
      </c>
      <c r="O19" s="70" t="n">
        <f aca="false">O14+O15+O16+O17+O18</f>
        <v>106152.775403466</v>
      </c>
      <c r="P19" s="70" t="n">
        <f aca="false">P14+P15+P16+P17+P18</f>
        <v>100997.23091594</v>
      </c>
      <c r="Q19" s="70" t="n">
        <f aca="false">Q14+Q15+Q16+Q17+Q18</f>
        <v>111746.876419604</v>
      </c>
      <c r="R19" s="70" t="n">
        <f aca="false">R14+R15+R16+R17+R18</f>
        <v>132695.041166199</v>
      </c>
      <c r="S19" s="70" t="n">
        <f aca="false">S14+S15+S16+S17+S18</f>
        <v>145781.363524862</v>
      </c>
      <c r="T19" s="70" t="n">
        <f aca="false">T14+T15+T16+T17+T18</f>
        <v>165307.260964765</v>
      </c>
      <c r="U19" s="70" t="n">
        <f aca="false">U14+U15+U16+U17+U18</f>
        <v>167446.149853654</v>
      </c>
      <c r="V19" s="70" t="n">
        <f aca="false">V14+V15+V16+V17+V18</f>
        <v>154026.079346843</v>
      </c>
      <c r="W19" s="70" t="n">
        <f aca="false">W14+W15+W16+W17+W18</f>
        <v>159061.854359864</v>
      </c>
      <c r="X19" s="70" t="n">
        <f aca="false">X14+X15+X16+X17+X18</f>
        <v>158323.317595708</v>
      </c>
      <c r="Y19" s="70" t="n">
        <f aca="false">Y14+Y15+Y16+Y17+Y18</f>
        <v>147782.41167301</v>
      </c>
      <c r="Z19" s="70" t="n">
        <f aca="false">Z14+Z15+Z16+Z17+Z18</f>
        <v>159419.796926415</v>
      </c>
      <c r="AA19" s="70" t="n">
        <f aca="false">AA14+AA15+AA16+AA17+AA18</f>
        <v>160041.126419604</v>
      </c>
      <c r="AB19" s="70" t="n">
        <f aca="false">AB14+AB15+AB16+AB17+AB18</f>
        <v>143460.500152577</v>
      </c>
    </row>
    <row r="20" customFormat="false" ht="15" hidden="false" customHeight="false" outlineLevel="0" collapsed="false">
      <c r="A20" s="28" t="s">
        <v>1196</v>
      </c>
      <c r="B20" s="58"/>
      <c r="C20" s="59" t="n">
        <f aca="false">SUM(E20:P20)</f>
        <v>1114660.84</v>
      </c>
      <c r="D20" s="59" t="n">
        <f aca="false">SUM(Q20:AB20)</f>
        <v>1029850</v>
      </c>
      <c r="E20" s="60" t="n">
        <f aca="false">Clients!E501/1</f>
        <v>80762.71</v>
      </c>
      <c r="F20" s="60" t="n">
        <f aca="false">Clients!F501/1</f>
        <v>82149.17</v>
      </c>
      <c r="G20" s="60" t="n">
        <f aca="false">Clients!G501/1</f>
        <v>86658.27</v>
      </c>
      <c r="H20" s="60" t="n">
        <f aca="false">Clients!H501/1</f>
        <v>93830.35</v>
      </c>
      <c r="I20" s="60" t="n">
        <f aca="false">Clients!I501/1</f>
        <v>89680.99</v>
      </c>
      <c r="J20" s="60" t="n">
        <f aca="false">Clients!J501/1</f>
        <v>91637.13</v>
      </c>
      <c r="K20" s="60" t="n">
        <f aca="false">Clients!K501/1</f>
        <v>80253.56</v>
      </c>
      <c r="L20" s="60" t="n">
        <f aca="false">Clients!L501/1</f>
        <v>81888.66</v>
      </c>
      <c r="M20" s="60" t="n">
        <f aca="false">Clients!M501/1</f>
        <v>92000</v>
      </c>
      <c r="N20" s="60" t="n">
        <f aca="false">Clients!N501/1</f>
        <v>101200</v>
      </c>
      <c r="O20" s="60" t="n">
        <f aca="false">Clients!O501/1</f>
        <v>124200</v>
      </c>
      <c r="P20" s="60" t="n">
        <f aca="false">Clients!P501/1</f>
        <v>110400</v>
      </c>
      <c r="Q20" s="60" t="n">
        <f aca="false">Clients!Q501/1</f>
        <v>77265</v>
      </c>
      <c r="R20" s="60" t="n">
        <f aca="false">Clients!R501/1</f>
        <v>77265</v>
      </c>
      <c r="S20" s="60" t="n">
        <f aca="false">Clients!S501/1</f>
        <v>82080</v>
      </c>
      <c r="T20" s="60" t="n">
        <f aca="false">Clients!T501/1</f>
        <v>86400</v>
      </c>
      <c r="U20" s="60" t="n">
        <f aca="false">Clients!U501/1</f>
        <v>86400</v>
      </c>
      <c r="V20" s="60" t="n">
        <f aca="false">Clients!V501/1</f>
        <v>82080</v>
      </c>
      <c r="W20" s="60" t="n">
        <f aca="false">Clients!W501/1</f>
        <v>73440</v>
      </c>
      <c r="X20" s="60" t="n">
        <f aca="false">Clients!X501/1</f>
        <v>77760</v>
      </c>
      <c r="Y20" s="60" t="n">
        <f aca="false">Clients!Y501/1</f>
        <v>86400</v>
      </c>
      <c r="Z20" s="60" t="n">
        <f aca="false">Clients!Z501/1</f>
        <v>90640</v>
      </c>
      <c r="AA20" s="60" t="n">
        <f aca="false">Clients!AA501/1</f>
        <v>111240</v>
      </c>
      <c r="AB20" s="60" t="n">
        <f aca="false">Clients!AB501/1</f>
        <v>98880</v>
      </c>
    </row>
    <row r="21" customFormat="false" ht="15" hidden="false" customHeight="false" outlineLevel="0" collapsed="false">
      <c r="A21" s="28" t="s">
        <v>714</v>
      </c>
      <c r="B21" s="58"/>
      <c r="C21" s="59" t="n">
        <f aca="false">SUM(E21:P21)</f>
        <v>124523.763801429</v>
      </c>
      <c r="D21" s="59" t="n">
        <f aca="false">SUM(Q21:AB21)</f>
        <v>121665.353651714</v>
      </c>
      <c r="E21" s="60" t="n">
        <f aca="false">Clients!E502/1</f>
        <v>8835.1488</v>
      </c>
      <c r="F21" s="60" t="n">
        <f aca="false">Clients!F502/1</f>
        <v>9713.3856</v>
      </c>
      <c r="G21" s="60" t="n">
        <f aca="false">Clients!G502/1</f>
        <v>9675.684</v>
      </c>
      <c r="H21" s="60" t="n">
        <f aca="false">Clients!H502/1</f>
        <v>10337.0184</v>
      </c>
      <c r="I21" s="60" t="n">
        <f aca="false">Clients!I502/1</f>
        <v>10422.648</v>
      </c>
      <c r="J21" s="60" t="n">
        <f aca="false">Clients!J502/1</f>
        <v>10137.9048</v>
      </c>
      <c r="K21" s="60" t="n">
        <f aca="false">Clients!K502/1</f>
        <v>9982.6968</v>
      </c>
      <c r="L21" s="60" t="n">
        <f aca="false">Clients!L502/1</f>
        <v>9894.0264</v>
      </c>
      <c r="M21" s="60" t="n">
        <f aca="false">Clients!M502/1</f>
        <v>9929.4336</v>
      </c>
      <c r="N21" s="60" t="n">
        <f aca="false">Clients!N502/1</f>
        <v>11175.3524671431</v>
      </c>
      <c r="O21" s="60" t="n">
        <f aca="false">Clients!O502/1</f>
        <v>12749.0838266548</v>
      </c>
      <c r="P21" s="60" t="n">
        <f aca="false">Clients!P502/1</f>
        <v>11671.3811076313</v>
      </c>
      <c r="Q21" s="60" t="n">
        <f aca="false">Clients!Q502/1</f>
        <v>8847.71631007248</v>
      </c>
      <c r="R21" s="60" t="n">
        <f aca="false">Clients!R502/1</f>
        <v>9420.97555193654</v>
      </c>
      <c r="S21" s="60" t="n">
        <f aca="false">Clients!S502/1</f>
        <v>9883.62293804431</v>
      </c>
      <c r="T21" s="60" t="n">
        <f aca="false">Clients!T502/1</f>
        <v>10362.8081658288</v>
      </c>
      <c r="U21" s="60" t="n">
        <f aca="false">Clients!U502/1</f>
        <v>10230.6153473058</v>
      </c>
      <c r="V21" s="60" t="n">
        <f aca="false">Clients!V502/1</f>
        <v>9949.7193473058</v>
      </c>
      <c r="W21" s="60" t="n">
        <f aca="false">Clients!W502/1</f>
        <v>9189.63811952133</v>
      </c>
      <c r="X21" s="60" t="n">
        <f aca="false">Clients!X502/1</f>
        <v>9040.90745932166</v>
      </c>
      <c r="Y21" s="60" t="n">
        <f aca="false">Clients!Y502/1</f>
        <v>9999.27791489059</v>
      </c>
      <c r="Z21" s="60" t="n">
        <f aca="false">Clients!Z502/1</f>
        <v>10924.6001658288</v>
      </c>
      <c r="AA21" s="60" t="n">
        <f aca="false">Clients!AA502/1</f>
        <v>12428.224779721</v>
      </c>
      <c r="AB21" s="60" t="n">
        <f aca="false">Clients!AB502/1</f>
        <v>11387.2475519365</v>
      </c>
    </row>
    <row r="22" customFormat="false" ht="15" hidden="false" customHeight="false" outlineLevel="0" collapsed="false">
      <c r="A22" s="28" t="s">
        <v>717</v>
      </c>
      <c r="B22" s="58"/>
      <c r="C22" s="59" t="n">
        <f aca="false">SUM(E22:P22)</f>
        <v>2484335.27610083</v>
      </c>
      <c r="D22" s="59" t="n">
        <f aca="false">SUM(Q22:AB22)</f>
        <v>2922481.42703404</v>
      </c>
      <c r="E22" s="60" t="n">
        <f aca="false">Clients!E504/1</f>
        <v>186307.37</v>
      </c>
      <c r="F22" s="60" t="n">
        <f aca="false">Clients!F504/1</f>
        <v>218587.83</v>
      </c>
      <c r="G22" s="60" t="n">
        <f aca="false">Clients!G504/1</f>
        <v>184863.9</v>
      </c>
      <c r="H22" s="60" t="n">
        <f aca="false">Clients!H504/1</f>
        <v>161420.07</v>
      </c>
      <c r="I22" s="60" t="n">
        <f aca="false">Clients!I504/1</f>
        <v>226869.25</v>
      </c>
      <c r="J22" s="60" t="n">
        <f aca="false">Clients!J504/1</f>
        <v>228033.51</v>
      </c>
      <c r="K22" s="60" t="n">
        <f aca="false">Clients!K504/1</f>
        <v>182256.77</v>
      </c>
      <c r="L22" s="60" t="n">
        <f aca="false">Clients!L504/1</f>
        <v>230382.82</v>
      </c>
      <c r="M22" s="60" t="n">
        <f aca="false">Clients!M504/1</f>
        <v>195566.814</v>
      </c>
      <c r="N22" s="60" t="n">
        <f aca="false">Clients!N504/1</f>
        <v>181323.38476008</v>
      </c>
      <c r="O22" s="60" t="n">
        <f aca="false">Clients!O504/1</f>
        <v>279754.281887273</v>
      </c>
      <c r="P22" s="60" t="n">
        <f aca="false">Clients!P504/1</f>
        <v>208969.275453479</v>
      </c>
      <c r="Q22" s="60" t="n">
        <f aca="false">Clients!Q504/1</f>
        <v>206246.186648635</v>
      </c>
      <c r="R22" s="60" t="n">
        <f aca="false">Clients!R504/1</f>
        <v>273413.277031445</v>
      </c>
      <c r="S22" s="60" t="n">
        <f aca="false">Clients!S504/1</f>
        <v>154937.901980949</v>
      </c>
      <c r="T22" s="60" t="n">
        <f aca="false">Clients!T504/1</f>
        <v>251231.486752094</v>
      </c>
      <c r="U22" s="60" t="n">
        <f aca="false">Clients!U504/1</f>
        <v>277133.55442916</v>
      </c>
      <c r="V22" s="60" t="n">
        <f aca="false">Clients!V504/1</f>
        <v>227426.222149108</v>
      </c>
      <c r="W22" s="60" t="n">
        <f aca="false">Clients!W504/1</f>
        <v>257056.903501257</v>
      </c>
      <c r="X22" s="60" t="n">
        <f aca="false">Clients!X504/1</f>
        <v>259331.510899725</v>
      </c>
      <c r="Y22" s="60" t="n">
        <f aca="false">Clients!Y504/1</f>
        <v>226359.077485258</v>
      </c>
      <c r="Z22" s="60" t="n">
        <f aca="false">Clients!Z504/1</f>
        <v>248742.672602029</v>
      </c>
      <c r="AA22" s="60" t="n">
        <f aca="false">Clients!AA504/1</f>
        <v>283597.683562764</v>
      </c>
      <c r="AB22" s="60" t="n">
        <f aca="false">Clients!AB504/1</f>
        <v>257004.949991618</v>
      </c>
    </row>
    <row r="23" customFormat="false" ht="15" hidden="false" customHeight="false" outlineLevel="0" collapsed="false">
      <c r="A23" s="28" t="s">
        <v>1197</v>
      </c>
      <c r="B23" s="58"/>
      <c r="C23" s="59" t="n">
        <f aca="false">SUM(E23:P23)</f>
        <v>0</v>
      </c>
      <c r="D23" s="59" t="n">
        <f aca="false">SUM(Q23:AB23)</f>
        <v>0</v>
      </c>
      <c r="E23" s="60" t="n">
        <f aca="false">Clients!E507/1</f>
        <v>0</v>
      </c>
      <c r="F23" s="60" t="n">
        <f aca="false">Clients!F507/1</f>
        <v>0</v>
      </c>
      <c r="G23" s="60" t="n">
        <f aca="false">Clients!G507/1</f>
        <v>0</v>
      </c>
      <c r="H23" s="60" t="n">
        <f aca="false">Clients!H507/1</f>
        <v>0</v>
      </c>
      <c r="I23" s="60" t="n">
        <f aca="false">Clients!I507/1</f>
        <v>0</v>
      </c>
      <c r="J23" s="60" t="n">
        <f aca="false">Clients!J507/1</f>
        <v>0</v>
      </c>
      <c r="K23" s="60" t="n">
        <f aca="false">Clients!K507/1</f>
        <v>0</v>
      </c>
      <c r="L23" s="60" t="n">
        <f aca="false">Clients!L507/1</f>
        <v>0</v>
      </c>
      <c r="M23" s="60" t="n">
        <f aca="false">Clients!M507/1</f>
        <v>0</v>
      </c>
      <c r="N23" s="60" t="n">
        <f aca="false">Clients!N507/1</f>
        <v>0</v>
      </c>
      <c r="O23" s="60" t="n">
        <f aca="false">Clients!O507/1</f>
        <v>0</v>
      </c>
      <c r="P23" s="60" t="n">
        <f aca="false">Clients!P507/1</f>
        <v>0</v>
      </c>
      <c r="Q23" s="60" t="n">
        <f aca="false">Clients!Q507/1</f>
        <v>0</v>
      </c>
      <c r="R23" s="60" t="n">
        <f aca="false">Clients!R507/1</f>
        <v>0</v>
      </c>
      <c r="S23" s="60" t="n">
        <f aca="false">Clients!S507/1</f>
        <v>0</v>
      </c>
      <c r="T23" s="60" t="n">
        <f aca="false">Clients!T507/1</f>
        <v>0</v>
      </c>
      <c r="U23" s="60" t="n">
        <f aca="false">Clients!U507/1</f>
        <v>0</v>
      </c>
      <c r="V23" s="60" t="n">
        <f aca="false">Clients!V507/1</f>
        <v>0</v>
      </c>
      <c r="W23" s="60" t="n">
        <f aca="false">Clients!W507/1</f>
        <v>0</v>
      </c>
      <c r="X23" s="60" t="n">
        <f aca="false">Clients!X507/1</f>
        <v>0</v>
      </c>
      <c r="Y23" s="60" t="n">
        <f aca="false">Clients!Y507/1</f>
        <v>0</v>
      </c>
      <c r="Z23" s="60" t="n">
        <f aca="false">Clients!Z507/1</f>
        <v>0</v>
      </c>
      <c r="AA23" s="60" t="n">
        <f aca="false">Clients!AA507/1</f>
        <v>0</v>
      </c>
      <c r="AB23" s="60" t="n">
        <f aca="false">Clients!AB507/1</f>
        <v>0</v>
      </c>
    </row>
    <row r="24" customFormat="false" ht="15" hidden="false" customHeight="false" outlineLevel="0" collapsed="false">
      <c r="A24" s="28" t="s">
        <v>1198</v>
      </c>
      <c r="B24" s="58"/>
      <c r="C24" s="59" t="n">
        <f aca="false">P24</f>
        <v>183868.83060351</v>
      </c>
      <c r="D24" s="59" t="n">
        <f aca="false">AB24</f>
        <v>235042.86638765</v>
      </c>
      <c r="E24" s="60" t="n">
        <f aca="false">Clients!E505/1</f>
        <v>180833.5988</v>
      </c>
      <c r="F24" s="60" t="n">
        <f aca="false">Clients!F505/1</f>
        <v>149576.8344</v>
      </c>
      <c r="G24" s="60" t="n">
        <f aca="false">Clients!G505/1</f>
        <v>133915.0084</v>
      </c>
      <c r="H24" s="60" t="n">
        <f aca="false">Clients!H505/1</f>
        <v>208320.0968</v>
      </c>
      <c r="I24" s="60" t="n">
        <f aca="false">Clients!I505/1</f>
        <v>194481.1148</v>
      </c>
      <c r="J24" s="60" t="n">
        <f aca="false">Clients!J505/1</f>
        <v>151415.8996</v>
      </c>
      <c r="K24" s="60" t="n">
        <f aca="false">Clients!K505/1</f>
        <v>189035.7464</v>
      </c>
      <c r="L24" s="60" t="n">
        <f aca="false">Clients!L505/1</f>
        <v>166073.4028</v>
      </c>
      <c r="M24" s="60" t="n">
        <f aca="false">Clients!M505/1</f>
        <v>153123.1524</v>
      </c>
      <c r="N24" s="60" t="n">
        <f aca="false">Clients!N505/1</f>
        <v>247316.054408034</v>
      </c>
      <c r="O24" s="60" t="n">
        <f aca="false">Clients!O505/1</f>
        <v>179303.699545892</v>
      </c>
      <c r="P24" s="60" t="n">
        <f aca="false">Clients!P505/1</f>
        <v>183868.83060351</v>
      </c>
      <c r="Q24" s="60" t="n">
        <f aca="false">Clients!Q505/1</f>
        <v>250048.641180887</v>
      </c>
      <c r="R24" s="60" t="n">
        <f aca="false">Clients!R505/1</f>
        <v>130195.966120983</v>
      </c>
      <c r="S24" s="60" t="n">
        <f aca="false">Clients!S505/1</f>
        <v>225374.028244278</v>
      </c>
      <c r="T24" s="60" t="n">
        <f aca="false">Clients!T505/1</f>
        <v>251503.761331022</v>
      </c>
      <c r="U24" s="60" t="n">
        <f aca="false">Clients!U505/1</f>
        <v>202570.453584304</v>
      </c>
      <c r="V24" s="60" t="n">
        <f aca="false">Clients!V505/1</f>
        <v>234090.682117637</v>
      </c>
      <c r="W24" s="60" t="n">
        <f aca="false">Clients!W505/1</f>
        <v>236331.177564226</v>
      </c>
      <c r="X24" s="60" t="n">
        <f aca="false">Clients!X505/1</f>
        <v>201127.698854058</v>
      </c>
      <c r="Y24" s="60" t="n">
        <f aca="false">Clients!Y505/1</f>
        <v>221337.165027547</v>
      </c>
      <c r="Z24" s="60" t="n">
        <f aca="false">Clients!Z505/1</f>
        <v>252151.304264356</v>
      </c>
      <c r="AA24" s="60" t="n">
        <f aca="false">Clients!AA505/1</f>
        <v>228222.142407728</v>
      </c>
      <c r="AB24" s="60" t="n">
        <f aca="false">Clients!AB505/1</f>
        <v>235042.86638765</v>
      </c>
    </row>
    <row r="25" customFormat="false" ht="15" hidden="false" customHeight="false" outlineLevel="0" collapsed="false">
      <c r="A25" s="28" t="s">
        <v>1199</v>
      </c>
      <c r="B25" s="58"/>
      <c r="C25" s="59" t="n">
        <f aca="false">P25</f>
        <v>22129.2309159395</v>
      </c>
      <c r="D25" s="59" t="n">
        <f aca="false">AB25</f>
        <v>15688.9001525771</v>
      </c>
      <c r="E25" s="60" t="n">
        <f aca="false">Clients!E508/1</f>
        <v>27030.74</v>
      </c>
      <c r="F25" s="60" t="n">
        <f aca="false">Clients!F508/1</f>
        <v>8800.24</v>
      </c>
      <c r="G25" s="60" t="n">
        <f aca="false">Clients!G508/1</f>
        <v>18847.4</v>
      </c>
      <c r="H25" s="60" t="n">
        <f aca="false">Clients!H508/1</f>
        <v>19746.51</v>
      </c>
      <c r="I25" s="60" t="n">
        <f aca="false">Clients!I508/1</f>
        <v>18602.08</v>
      </c>
      <c r="J25" s="60" t="n">
        <f aca="false">Clients!J508/1</f>
        <v>18210.39</v>
      </c>
      <c r="K25" s="60" t="n">
        <f aca="false">Clients!K508/1</f>
        <v>29810.68</v>
      </c>
      <c r="L25" s="60" t="n">
        <f aca="false">Clients!L508/1</f>
        <v>18820.46</v>
      </c>
      <c r="M25" s="60" t="n">
        <f aca="false">Clients!M508/1</f>
        <v>40900.7438247803</v>
      </c>
      <c r="N25" s="60" t="n">
        <f aca="false">Clients!N508/1</f>
        <v>20278.843198476</v>
      </c>
      <c r="O25" s="60" t="n">
        <f aca="false">Clients!O508/1</f>
        <v>28595.0254034656</v>
      </c>
      <c r="P25" s="60" t="n">
        <f aca="false">Clients!P508/1</f>
        <v>22129.2309159395</v>
      </c>
      <c r="Q25" s="60" t="n">
        <f aca="false">Clients!Q508/1</f>
        <v>19546.8264196042</v>
      </c>
      <c r="R25" s="60" t="n">
        <f aca="false">Clients!R508/1</f>
        <v>29383.2411661988</v>
      </c>
      <c r="S25" s="60" t="n">
        <f aca="false">Clients!S508/1</f>
        <v>20318.4116730097</v>
      </c>
      <c r="T25" s="60" t="n">
        <f aca="false">Clients!T508/1</f>
        <v>19289.6313351358</v>
      </c>
      <c r="U25" s="60" t="n">
        <f aca="false">Clients!U508/1</f>
        <v>37597.6313351357</v>
      </c>
      <c r="V25" s="60" t="n">
        <f aca="false">Clients!V508/1</f>
        <v>19314.9793468434</v>
      </c>
      <c r="W25" s="60" t="n">
        <f aca="false">Clients!W508/1</f>
        <v>23101.0728783828</v>
      </c>
      <c r="X25" s="60" t="n">
        <f aca="false">Clients!X508/1</f>
        <v>28097.2657438564</v>
      </c>
      <c r="Y25" s="60" t="n">
        <f aca="false">Clients!Y508/1</f>
        <v>20318.4116730097</v>
      </c>
      <c r="Z25" s="60" t="n">
        <f aca="false">Clients!Z508/1</f>
        <v>21089.9969264151</v>
      </c>
      <c r="AA25" s="60" t="n">
        <f aca="false">Clients!AA508/1</f>
        <v>30154.8264196042</v>
      </c>
      <c r="AB25" s="60" t="n">
        <f aca="false">Clients!AB508/1</f>
        <v>15688.9001525771</v>
      </c>
    </row>
    <row r="26" customFormat="false" ht="15" hidden="false" customHeight="false" outlineLevel="0" collapsed="false">
      <c r="A26" s="28" t="s">
        <v>1200</v>
      </c>
      <c r="B26" s="58"/>
      <c r="C26" s="59" t="n">
        <f aca="false">P26</f>
        <v>0</v>
      </c>
      <c r="D26" s="59" t="n">
        <f aca="false">AB26</f>
        <v>10608</v>
      </c>
      <c r="E26" s="60" t="n">
        <f aca="false">Clients!E509/1</f>
        <v>32000</v>
      </c>
      <c r="F26" s="60" t="n">
        <f aca="false">Clients!F509/1</f>
        <v>16000</v>
      </c>
      <c r="G26" s="60" t="n">
        <f aca="false">Clients!G509/1</f>
        <v>0</v>
      </c>
      <c r="H26" s="60" t="n">
        <f aca="false">Clients!H509/1</f>
        <v>32000</v>
      </c>
      <c r="I26" s="60" t="n">
        <f aca="false">Clients!I509/1</f>
        <v>37730</v>
      </c>
      <c r="J26" s="60" t="n">
        <f aca="false">Clients!J509/1</f>
        <v>3610</v>
      </c>
      <c r="K26" s="60" t="n">
        <f aca="false">Clients!K509/1</f>
        <v>32000</v>
      </c>
      <c r="L26" s="60" t="n">
        <f aca="false">Clients!L509/1</f>
        <v>16000</v>
      </c>
      <c r="M26" s="60" t="n">
        <f aca="false">Clients!M509/1</f>
        <v>0</v>
      </c>
      <c r="N26" s="60" t="n">
        <f aca="false">Clients!N509/1</f>
        <v>39043.75</v>
      </c>
      <c r="O26" s="60" t="n">
        <f aca="false">Clients!O509/1</f>
        <v>16000</v>
      </c>
      <c r="P26" s="60" t="n">
        <f aca="false">Clients!P509/1</f>
        <v>0</v>
      </c>
      <c r="Q26" s="60" t="n">
        <f aca="false">Clients!Q509/1</f>
        <v>71984</v>
      </c>
      <c r="R26" s="60" t="n">
        <f aca="false">Clients!R509/1</f>
        <v>16000</v>
      </c>
      <c r="S26" s="60" t="n">
        <f aca="false">Clients!S509/1</f>
        <v>19306.1481481481</v>
      </c>
      <c r="T26" s="60" t="n">
        <f aca="false">Clients!T509/1</f>
        <v>33568.5185185185</v>
      </c>
      <c r="U26" s="60" t="n">
        <f aca="false">Clients!U509/1</f>
        <v>16000</v>
      </c>
      <c r="V26" s="60" t="n">
        <f aca="false">Clients!V509/1</f>
        <v>10608</v>
      </c>
      <c r="W26" s="60" t="n">
        <f aca="false">Clients!W509/1</f>
        <v>32000</v>
      </c>
      <c r="X26" s="60" t="n">
        <f aca="false">Clients!X509/1</f>
        <v>16000</v>
      </c>
      <c r="Y26" s="60" t="n">
        <f aca="false">Clients!Y509/1</f>
        <v>10608</v>
      </c>
      <c r="Z26" s="60" t="n">
        <f aca="false">Clients!Z509/1</f>
        <v>29952</v>
      </c>
      <c r="AA26" s="60" t="n">
        <f aca="false">Clients!AA509/1</f>
        <v>14976</v>
      </c>
      <c r="AB26" s="60" t="n">
        <f aca="false">Clients!AB509/1</f>
        <v>10608</v>
      </c>
    </row>
    <row r="27" customFormat="false" ht="15" hidden="false" customHeight="false" outlineLevel="0" collapsed="false">
      <c r="A27" s="28" t="s">
        <v>1201</v>
      </c>
      <c r="B27" s="58"/>
      <c r="C27" s="59" t="n">
        <f aca="false">P27</f>
        <v>205998.061519449</v>
      </c>
      <c r="D27" s="59" t="n">
        <f aca="false">AB27</f>
        <v>240123.766540227</v>
      </c>
      <c r="E27" s="71" t="n">
        <f aca="false">E24+E25-E26</f>
        <v>175864.3388</v>
      </c>
      <c r="F27" s="71" t="n">
        <f aca="false">F24+F25-F26</f>
        <v>142377.0744</v>
      </c>
      <c r="G27" s="71" t="n">
        <f aca="false">G24+G25-G26</f>
        <v>152762.4084</v>
      </c>
      <c r="H27" s="71" t="n">
        <f aca="false">H24+H25-H26</f>
        <v>196066.6068</v>
      </c>
      <c r="I27" s="71" t="n">
        <f aca="false">I24+I25-I26</f>
        <v>175353.1948</v>
      </c>
      <c r="J27" s="71" t="n">
        <f aca="false">J24+J25-J26</f>
        <v>166016.2896</v>
      </c>
      <c r="K27" s="71" t="n">
        <f aca="false">K24+K25-K26</f>
        <v>186846.4264</v>
      </c>
      <c r="L27" s="71" t="n">
        <f aca="false">L24+L25-L26</f>
        <v>168893.8628</v>
      </c>
      <c r="M27" s="71" t="n">
        <f aca="false">M24+M25-M26</f>
        <v>194023.89622478</v>
      </c>
      <c r="N27" s="71" t="n">
        <f aca="false">N24+N25-N26</f>
        <v>228551.14760651</v>
      </c>
      <c r="O27" s="71" t="n">
        <f aca="false">O24+O25-O26</f>
        <v>191898.724949358</v>
      </c>
      <c r="P27" s="71" t="n">
        <f aca="false">P24+P25-P26</f>
        <v>205998.061519449</v>
      </c>
      <c r="Q27" s="71" t="n">
        <f aca="false">Q24+Q25-Q26</f>
        <v>197611.467600491</v>
      </c>
      <c r="R27" s="71" t="n">
        <f aca="false">R24+R25-R26</f>
        <v>143579.207287182</v>
      </c>
      <c r="S27" s="71" t="n">
        <f aca="false">S24+S25-S26</f>
        <v>226386.291769139</v>
      </c>
      <c r="T27" s="71" t="n">
        <f aca="false">T24+T25-T26</f>
        <v>237224.874147639</v>
      </c>
      <c r="U27" s="71" t="n">
        <f aca="false">U24+U25-U26</f>
        <v>224168.08491944</v>
      </c>
      <c r="V27" s="71" t="n">
        <f aca="false">V24+V25-V26</f>
        <v>242797.66146448</v>
      </c>
      <c r="W27" s="71" t="n">
        <f aca="false">W24+W25-W26</f>
        <v>227432.250442609</v>
      </c>
      <c r="X27" s="71" t="n">
        <f aca="false">X24+X25-X26</f>
        <v>213224.964597914</v>
      </c>
      <c r="Y27" s="71" t="n">
        <f aca="false">Y24+Y25-Y26</f>
        <v>231047.576700556</v>
      </c>
      <c r="Z27" s="71" t="n">
        <f aca="false">Z24+Z25-Z26</f>
        <v>243289.301190771</v>
      </c>
      <c r="AA27" s="71" t="n">
        <f aca="false">AA24+AA25-AA26</f>
        <v>243400.968827332</v>
      </c>
      <c r="AB27" s="71" t="n">
        <f aca="false">AB24+AB25-AB26</f>
        <v>240123.766540227</v>
      </c>
    </row>
    <row r="28" customFormat="false" ht="15" hidden="false" customHeight="false" outlineLevel="0" collapsed="false">
      <c r="A28" s="68" t="s">
        <v>1202</v>
      </c>
      <c r="B28" s="69" t="s">
        <v>1203</v>
      </c>
      <c r="C28" s="70" t="n">
        <f aca="false">SUM(E28:P28)</f>
        <v>0</v>
      </c>
      <c r="D28" s="70" t="n">
        <f aca="false">SUM(Q28:AB28)</f>
        <v>0</v>
      </c>
      <c r="E28" s="74" t="n">
        <f aca="false">E27-(SUMIFS(Client_Register!$W$7:$W$28,Client_Register!$D$7:$D$28,"EUR")+SUMIFS(Client_Register!$X$7:$X$28,Client_Register!$D$7:$D$28,"EUR"))-E19-E20-E21+E22+E23</f>
        <v>0</v>
      </c>
      <c r="F28" s="70" t="n">
        <f aca="false">F27-E27-F19-F20-F21+F22+F23</f>
        <v>0</v>
      </c>
      <c r="G28" s="70" t="n">
        <f aca="false">G27-F27-G19-G20-G21+G22+G23</f>
        <v>0</v>
      </c>
      <c r="H28" s="70" t="n">
        <f aca="false">H27-G27-H19-H20-H21+H22+H23</f>
        <v>0</v>
      </c>
      <c r="I28" s="70" t="n">
        <f aca="false">I27-H27-I19-I20-I21+I22+I23</f>
        <v>0</v>
      </c>
      <c r="J28" s="70" t="n">
        <f aca="false">J27-I27-J19-J20-J21+J22+J23</f>
        <v>0</v>
      </c>
      <c r="K28" s="70" t="n">
        <f aca="false">K27-J27-K19-K20-K21+K22+K23</f>
        <v>0</v>
      </c>
      <c r="L28" s="70" t="n">
        <f aca="false">L27-K27-L19-L20-L21+L22+L23</f>
        <v>0</v>
      </c>
      <c r="M28" s="70" t="n">
        <f aca="false">M27-L27-M19-M20-M21+M22+M23</f>
        <v>0</v>
      </c>
      <c r="N28" s="70" t="n">
        <f aca="false">N27-M27-N19-N20-N21+N22+N23</f>
        <v>0</v>
      </c>
      <c r="O28" s="70" t="n">
        <f aca="false">O27-N27-O19-O20-O21+O22+O23</f>
        <v>0</v>
      </c>
      <c r="P28" s="70" t="n">
        <f aca="false">P27-O27-P19-P20-P21+P22+P23</f>
        <v>0</v>
      </c>
      <c r="Q28" s="70" t="n">
        <f aca="false">Q27-P27-Q19-Q20-Q21+Q22+Q23</f>
        <v>0</v>
      </c>
      <c r="R28" s="70" t="n">
        <f aca="false">R27-Q27-R19-R20-R21+R22+R23</f>
        <v>0</v>
      </c>
      <c r="S28" s="70" t="n">
        <f aca="false">S27-R27-S19-S20-S21+S22+S23</f>
        <v>0</v>
      </c>
      <c r="T28" s="70" t="n">
        <f aca="false">T27-S27-T19-T20-T21+T22+T23</f>
        <v>0</v>
      </c>
      <c r="U28" s="70" t="n">
        <f aca="false">U27-T27-U19-U20-U21+U22+U23</f>
        <v>0</v>
      </c>
      <c r="V28" s="70" t="n">
        <f aca="false">V27-U27-V19-V20-V21+V22+V23</f>
        <v>0</v>
      </c>
      <c r="W28" s="70" t="n">
        <f aca="false">W27-V27-W19-W20-W21+W22+W23</f>
        <v>0</v>
      </c>
      <c r="X28" s="70" t="n">
        <f aca="false">X27-W27-X19-X20-X21+X22+X23</f>
        <v>0</v>
      </c>
      <c r="Y28" s="70" t="n">
        <f aca="false">Y27-X27-Y19-Y20-Y21+Y22+Y23</f>
        <v>0</v>
      </c>
      <c r="Z28" s="70" t="n">
        <f aca="false">Z27-Y27-Z19-Z20-Z21+Z22+Z23</f>
        <v>0</v>
      </c>
      <c r="AA28" s="70" t="n">
        <f aca="false">AA27-Z27-AA19-AA20-AA21+AA22+AA23</f>
        <v>0</v>
      </c>
      <c r="AB28" s="70" t="n">
        <f aca="false">AB27-AA27-AB19-AB20-AB21+AB22+AB23</f>
        <v>0</v>
      </c>
    </row>
    <row r="29" customFormat="false" ht="15" hidden="false" customHeight="false" outlineLevel="0" collapsed="false">
      <c r="A29" s="22" t="s">
        <v>1204</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row>
    <row r="30" customFormat="false" ht="15" hidden="false" customHeight="false" outlineLevel="0" collapsed="false">
      <c r="A30" s="28" t="s">
        <v>331</v>
      </c>
      <c r="B30" s="58" t="s">
        <v>1194</v>
      </c>
      <c r="C30" s="59" t="n">
        <f aca="false">SUM(E30:P30)</f>
        <v>1137138.75178138</v>
      </c>
      <c r="D30" s="59" t="n">
        <f aca="false">SUM(Q30:AB30)</f>
        <v>1305658.04221932</v>
      </c>
      <c r="E30" s="60" t="n">
        <f aca="false">Clients!E510/E9</f>
        <v>86266.3906142167</v>
      </c>
      <c r="F30" s="60" t="n">
        <f aca="false">Clients!F510/F9</f>
        <v>86083.2137733142</v>
      </c>
      <c r="G30" s="60" t="n">
        <f aca="false">Clients!G510/G9</f>
        <v>85978.6085221997</v>
      </c>
      <c r="H30" s="60" t="n">
        <f aca="false">Clients!H510/H9</f>
        <v>86476.2651477591</v>
      </c>
      <c r="I30" s="60" t="n">
        <f aca="false">Clients!I510/I9</f>
        <v>86531.1396727969</v>
      </c>
      <c r="J30" s="60" t="n">
        <f aca="false">Clients!J510/J9</f>
        <v>100057.836899942</v>
      </c>
      <c r="K30" s="60" t="n">
        <f aca="false">Clients!K510/K9</f>
        <v>100727.802037846</v>
      </c>
      <c r="L30" s="60" t="n">
        <f aca="false">Clients!L510/L9</f>
        <v>101038.417960309</v>
      </c>
      <c r="M30" s="60" t="n">
        <f aca="false">Clients!M510/M9</f>
        <v>100994.76928825</v>
      </c>
      <c r="N30" s="60" t="n">
        <f aca="false">Clients!N510/N9</f>
        <v>100994.76928825</v>
      </c>
      <c r="O30" s="60" t="n">
        <f aca="false">Clients!O510/O9</f>
        <v>100994.76928825</v>
      </c>
      <c r="P30" s="60" t="n">
        <f aca="false">Clients!P510/P9</f>
        <v>100994.76928825</v>
      </c>
      <c r="Q30" s="60" t="n">
        <f aca="false">Clients!Q510/Q9</f>
        <v>102956.286194657</v>
      </c>
      <c r="R30" s="60" t="n">
        <f aca="false">Clients!R510/R9</f>
        <v>102956.286194657</v>
      </c>
      <c r="S30" s="60" t="n">
        <f aca="false">Clients!S510/S9</f>
        <v>107159.536708388</v>
      </c>
      <c r="T30" s="60" t="n">
        <f aca="false">Clients!T510/T9</f>
        <v>106038.669904726</v>
      </c>
      <c r="U30" s="60" t="n">
        <f aca="false">Clients!U510/U9</f>
        <v>106038.669904726</v>
      </c>
      <c r="V30" s="60" t="n">
        <f aca="false">Clients!V510/V9</f>
        <v>112654.119185503</v>
      </c>
      <c r="W30" s="60" t="n">
        <f aca="false">Clients!W510/W9</f>
        <v>111309.07902111</v>
      </c>
      <c r="X30" s="60" t="n">
        <f aca="false">Clients!X510/X9</f>
        <v>111309.07902111</v>
      </c>
      <c r="Y30" s="60" t="n">
        <f aca="false">Clients!Y510/Y9</f>
        <v>111309.07902111</v>
      </c>
      <c r="Z30" s="60" t="n">
        <f aca="false">Clients!Z510/Z9</f>
        <v>111309.07902111</v>
      </c>
      <c r="AA30" s="60" t="n">
        <f aca="false">Clients!AA510/AA9</f>
        <v>111309.07902111</v>
      </c>
      <c r="AB30" s="60" t="n">
        <f aca="false">Clients!AB510/AB9</f>
        <v>111309.07902111</v>
      </c>
    </row>
    <row r="31" customFormat="false" ht="15" hidden="false" customHeight="false" outlineLevel="0" collapsed="false">
      <c r="A31" s="28" t="s">
        <v>700</v>
      </c>
      <c r="B31" s="58" t="s">
        <v>1194</v>
      </c>
      <c r="C31" s="59" t="n">
        <f aca="false">SUM(E31:P31)</f>
        <v>457395.111455669</v>
      </c>
      <c r="D31" s="59" t="n">
        <f aca="false">SUM(Q31:AB31)</f>
        <v>112086.68036615</v>
      </c>
      <c r="E31" s="60" t="n">
        <f aca="false">Clients!E511/E9</f>
        <v>55136.9910282954</v>
      </c>
      <c r="F31" s="60" t="n">
        <f aca="false">Clients!F511/F9</f>
        <v>37598.1291248207</v>
      </c>
      <c r="G31" s="60" t="n">
        <f aca="false">Clients!G511/G9</f>
        <v>34845.1926494022</v>
      </c>
      <c r="H31" s="60" t="n">
        <f aca="false">Clients!H511/H9</f>
        <v>30839.6499440787</v>
      </c>
      <c r="I31" s="60" t="n">
        <f aca="false">Clients!I511/I9</f>
        <v>33793.2944135496</v>
      </c>
      <c r="J31" s="60" t="n">
        <f aca="false">Clients!J511/J9</f>
        <v>42692.8860613071</v>
      </c>
      <c r="K31" s="60" t="n">
        <f aca="false">Clients!K511/K9</f>
        <v>55726.788937409</v>
      </c>
      <c r="L31" s="60" t="n">
        <f aca="false">Clients!L511/L9</f>
        <v>59057.6327808342</v>
      </c>
      <c r="M31" s="60" t="n">
        <f aca="false">Clients!M511/M9</f>
        <v>55561.2130788551</v>
      </c>
      <c r="N31" s="60" t="n">
        <f aca="false">Clients!N511/N9</f>
        <v>36905.1719440812</v>
      </c>
      <c r="O31" s="60" t="n">
        <f aca="false">Clients!O511/O9</f>
        <v>15238.1614930361</v>
      </c>
      <c r="P31" s="60" t="n">
        <f aca="false">Clients!P511/P9</f>
        <v>0</v>
      </c>
      <c r="Q31" s="60" t="n">
        <f aca="false">Clients!Q511/Q9</f>
        <v>0</v>
      </c>
      <c r="R31" s="60" t="n">
        <f aca="false">Clients!R511/R9</f>
        <v>6208.8831689704</v>
      </c>
      <c r="S31" s="60" t="n">
        <f aca="false">Clients!S511/S9</f>
        <v>16012.38290945</v>
      </c>
      <c r="T31" s="60" t="n">
        <f aca="false">Clients!T511/T9</f>
        <v>21894.4827537377</v>
      </c>
      <c r="U31" s="60" t="n">
        <f aca="false">Clients!U511/U9</f>
        <v>23855.1827018336</v>
      </c>
      <c r="V31" s="60" t="n">
        <f aca="false">Clients!V511/V9</f>
        <v>21894.4827537377</v>
      </c>
      <c r="W31" s="60" t="n">
        <f aca="false">Clients!W511/W9</f>
        <v>16012.38290945</v>
      </c>
      <c r="X31" s="60" t="n">
        <f aca="false">Clients!X511/X9</f>
        <v>6208.8831689704</v>
      </c>
      <c r="Y31" s="60" t="n">
        <f aca="false">Clients!Y511/Y9</f>
        <v>0</v>
      </c>
      <c r="Z31" s="60" t="n">
        <f aca="false">Clients!Z511/Z9</f>
        <v>0</v>
      </c>
      <c r="AA31" s="60" t="n">
        <f aca="false">Clients!AA511/AA9</f>
        <v>0</v>
      </c>
      <c r="AB31" s="60" t="n">
        <f aca="false">Clients!AB511/AB9</f>
        <v>0</v>
      </c>
    </row>
    <row r="32" customFormat="false" ht="15" hidden="false" customHeight="false" outlineLevel="0" collapsed="false">
      <c r="A32" s="28" t="s">
        <v>333</v>
      </c>
      <c r="B32" s="58" t="s">
        <v>1194</v>
      </c>
      <c r="C32" s="59" t="n">
        <f aca="false">SUM(E32:P32)</f>
        <v>263277.369930372</v>
      </c>
      <c r="D32" s="59" t="n">
        <f aca="false">SUM(Q32:AB32)</f>
        <v>328684.418627231</v>
      </c>
      <c r="E32" s="60" t="n">
        <f aca="false">Clients!E512/E9</f>
        <v>23639.4409937888</v>
      </c>
      <c r="F32" s="60" t="n">
        <f aca="false">Clients!F512/F9</f>
        <v>20794.9842180775</v>
      </c>
      <c r="G32" s="60" t="n">
        <f aca="false">Clients!G512/G9</f>
        <v>21308.2619710883</v>
      </c>
      <c r="H32" s="60" t="n">
        <f aca="false">Clients!H512/H9</f>
        <v>17149.442516344</v>
      </c>
      <c r="I32" s="60" t="n">
        <f aca="false">Clients!I512/I9</f>
        <v>18843.9324364861</v>
      </c>
      <c r="J32" s="60" t="n">
        <f aca="false">Clients!J512/J9</f>
        <v>20506.6975130133</v>
      </c>
      <c r="K32" s="60" t="n">
        <f aca="false">Clients!K512/K9</f>
        <v>15909.1470160116</v>
      </c>
      <c r="L32" s="60" t="n">
        <f aca="false">Clients!L512/L9</f>
        <v>22918.3165714686</v>
      </c>
      <c r="M32" s="60" t="n">
        <f aca="false">Clients!M512/M9</f>
        <v>22560.0194928856</v>
      </c>
      <c r="N32" s="60" t="n">
        <f aca="false">Clients!N512/N9</f>
        <v>29822.2120114112</v>
      </c>
      <c r="O32" s="60" t="n">
        <f aca="false">Clients!O512/O9</f>
        <v>27640.0989374055</v>
      </c>
      <c r="P32" s="60" t="n">
        <f aca="false">Clients!P512/P9</f>
        <v>22184.8162523912</v>
      </c>
      <c r="Q32" s="60" t="n">
        <f aca="false">Clients!Q512/Q9</f>
        <v>28745.7028949017</v>
      </c>
      <c r="R32" s="60" t="n">
        <f aca="false">Clients!R512/R9</f>
        <v>27611.0040964187</v>
      </c>
      <c r="S32" s="60" t="n">
        <f aca="false">Clients!S512/S9</f>
        <v>29880.4016933846</v>
      </c>
      <c r="T32" s="60" t="n">
        <f aca="false">Clients!T512/T9</f>
        <v>28367.469962074</v>
      </c>
      <c r="U32" s="60" t="n">
        <f aca="false">Clients!U512/U9</f>
        <v>28367.469962074</v>
      </c>
      <c r="V32" s="60" t="n">
        <f aca="false">Clients!V512/V9</f>
        <v>26098.0723651081</v>
      </c>
      <c r="W32" s="60" t="n">
        <f aca="false">Clients!W512/W9</f>
        <v>21181.0442383486</v>
      </c>
      <c r="X32" s="60" t="n">
        <f aca="false">Clients!X512/X9</f>
        <v>25719.8394322804</v>
      </c>
      <c r="Y32" s="60" t="n">
        <f aca="false">Clients!Y512/Y9</f>
        <v>29880.4016933846</v>
      </c>
      <c r="Z32" s="60" t="n">
        <f aca="false">Clients!Z512/Z9</f>
        <v>31015.1004918676</v>
      </c>
      <c r="AA32" s="60" t="n">
        <f aca="false">Clients!AA512/AA9</f>
        <v>28745.7028949017</v>
      </c>
      <c r="AB32" s="60" t="n">
        <f aca="false">Clients!AB512/AB9</f>
        <v>23072.2089024869</v>
      </c>
    </row>
    <row r="33" customFormat="false" ht="15" hidden="false" customHeight="false" outlineLevel="0" collapsed="false">
      <c r="A33" s="28" t="s">
        <v>334</v>
      </c>
      <c r="B33" s="58" t="s">
        <v>1194</v>
      </c>
      <c r="C33" s="59" t="n">
        <f aca="false">SUM(E33:P33)</f>
        <v>79348.4743871523</v>
      </c>
      <c r="D33" s="59" t="n">
        <f aca="false">SUM(Q33:AB33)</f>
        <v>71055.3661498225</v>
      </c>
      <c r="E33" s="60" t="n">
        <f aca="false">Clients!E513/E9</f>
        <v>5952.10489993099</v>
      </c>
      <c r="F33" s="60" t="n">
        <f aca="false">Clients!F513/F9</f>
        <v>5479.43758967002</v>
      </c>
      <c r="G33" s="60" t="n">
        <f aca="false">Clients!G513/G9</f>
        <v>6115.10816108952</v>
      </c>
      <c r="H33" s="60" t="n">
        <f aca="false">Clients!H513/H9</f>
        <v>7156.99477683358</v>
      </c>
      <c r="I33" s="60" t="n">
        <f aca="false">Clients!I513/I9</f>
        <v>6489.00477651891</v>
      </c>
      <c r="J33" s="60" t="n">
        <f aca="false">Clients!J513/J9</f>
        <v>5696.78426836322</v>
      </c>
      <c r="K33" s="60" t="n">
        <f aca="false">Clients!K513/K9</f>
        <v>5588.22707423581</v>
      </c>
      <c r="L33" s="60" t="n">
        <f aca="false">Clients!L513/L9</f>
        <v>7010.22064921564</v>
      </c>
      <c r="M33" s="60" t="n">
        <f aca="false">Clients!M513/M9</f>
        <v>6421.63272931067</v>
      </c>
      <c r="N33" s="60" t="n">
        <f aca="false">Clients!N513/N9</f>
        <v>7063.79600224174</v>
      </c>
      <c r="O33" s="60" t="n">
        <f aca="false">Clients!O513/O9</f>
        <v>8669.2041845694</v>
      </c>
      <c r="P33" s="60" t="n">
        <f aca="false">Clients!P513/P9</f>
        <v>7705.9592751728</v>
      </c>
      <c r="Q33" s="60" t="n">
        <f aca="false">Clients!Q513/Q9</f>
        <v>5458.38781991407</v>
      </c>
      <c r="R33" s="60" t="n">
        <f aca="false">Clients!R513/R9</f>
        <v>5458.38781991407</v>
      </c>
      <c r="S33" s="60" t="n">
        <f aca="false">Clients!S513/S9</f>
        <v>6100.55109284513</v>
      </c>
      <c r="T33" s="60" t="n">
        <f aca="false">Clients!T513/T9</f>
        <v>5779.4694563796</v>
      </c>
      <c r="U33" s="60" t="n">
        <f aca="false">Clients!U513/U9</f>
        <v>5779.4694563796</v>
      </c>
      <c r="V33" s="60" t="n">
        <f aca="false">Clients!V513/V9</f>
        <v>5490.49598356062</v>
      </c>
      <c r="W33" s="60" t="n">
        <f aca="false">Clients!W513/W9</f>
        <v>4912.54903792266</v>
      </c>
      <c r="X33" s="60" t="n">
        <f aca="false">Clients!X513/X9</f>
        <v>5201.52251074164</v>
      </c>
      <c r="Y33" s="60" t="n">
        <f aca="false">Clients!Y513/Y9</f>
        <v>5779.4694563796</v>
      </c>
      <c r="Z33" s="60" t="n">
        <f aca="false">Clients!Z513/Z9</f>
        <v>6357.41640201756</v>
      </c>
      <c r="AA33" s="60" t="n">
        <f aca="false">Clients!AA513/AA9</f>
        <v>7802.28376611246</v>
      </c>
      <c r="AB33" s="60" t="n">
        <f aca="false">Clients!AB513/AB9</f>
        <v>6935.36334765552</v>
      </c>
    </row>
    <row r="34" customFormat="false" ht="15" hidden="false" customHeight="false" outlineLevel="0" collapsed="false">
      <c r="A34" s="28" t="s">
        <v>1195</v>
      </c>
      <c r="B34" s="58" t="s">
        <v>1194</v>
      </c>
      <c r="C34" s="59" t="n">
        <f aca="false">SUM(E34:P34)</f>
        <v>16100</v>
      </c>
      <c r="D34" s="59" t="n">
        <f aca="false">SUM(Q34:AB34)</f>
        <v>0</v>
      </c>
      <c r="E34" s="60" t="n">
        <f aca="false">Clients!E514/E9</f>
        <v>0</v>
      </c>
      <c r="F34" s="60" t="n">
        <f aca="false">Clients!F514/F9</f>
        <v>0</v>
      </c>
      <c r="G34" s="60" t="n">
        <f aca="false">Clients!G514/G9</f>
        <v>0</v>
      </c>
      <c r="H34" s="60" t="n">
        <f aca="false">Clients!H514/H9</f>
        <v>0</v>
      </c>
      <c r="I34" s="60" t="n">
        <f aca="false">Clients!I514/I9</f>
        <v>0</v>
      </c>
      <c r="J34" s="60" t="n">
        <f aca="false">Clients!J514/J9</f>
        <v>0</v>
      </c>
      <c r="K34" s="60" t="n">
        <f aca="false">Clients!K514/K9</f>
        <v>4830</v>
      </c>
      <c r="L34" s="60" t="n">
        <f aca="false">Clients!L514/L9</f>
        <v>6440</v>
      </c>
      <c r="M34" s="60" t="n">
        <f aca="false">Clients!M514/M9</f>
        <v>2325.55555555556</v>
      </c>
      <c r="N34" s="60" t="n">
        <f aca="false">Clients!N514/N9</f>
        <v>1788.88888888889</v>
      </c>
      <c r="O34" s="60" t="n">
        <f aca="false">Clients!O514/O9</f>
        <v>715.555555555557</v>
      </c>
      <c r="P34" s="60" t="n">
        <f aca="false">Clients!P514/P9</f>
        <v>0</v>
      </c>
      <c r="Q34" s="60" t="n">
        <f aca="false">Clients!Q514/Q9</f>
        <v>0</v>
      </c>
      <c r="R34" s="60" t="n">
        <f aca="false">Clients!R514/R9</f>
        <v>0</v>
      </c>
      <c r="S34" s="60" t="n">
        <f aca="false">Clients!S514/S9</f>
        <v>0</v>
      </c>
      <c r="T34" s="60" t="n">
        <f aca="false">Clients!T514/T9</f>
        <v>0</v>
      </c>
      <c r="U34" s="60" t="n">
        <f aca="false">Clients!U514/U9</f>
        <v>0</v>
      </c>
      <c r="V34" s="60" t="n">
        <f aca="false">Clients!V514/V9</f>
        <v>0</v>
      </c>
      <c r="W34" s="60" t="n">
        <f aca="false">Clients!W514/W9</f>
        <v>0</v>
      </c>
      <c r="X34" s="60" t="n">
        <f aca="false">Clients!X514/X9</f>
        <v>0</v>
      </c>
      <c r="Y34" s="60" t="n">
        <f aca="false">Clients!Y514/Y9</f>
        <v>0</v>
      </c>
      <c r="Z34" s="60" t="n">
        <f aca="false">Clients!Z514/Z9</f>
        <v>0</v>
      </c>
      <c r="AA34" s="60" t="n">
        <f aca="false">Clients!AA514/AA9</f>
        <v>0</v>
      </c>
      <c r="AB34" s="60" t="n">
        <f aca="false">Clients!AB514/AB9</f>
        <v>0</v>
      </c>
    </row>
    <row r="35" customFormat="false" ht="15" hidden="false" customHeight="false" outlineLevel="0" collapsed="false">
      <c r="A35" s="68" t="s">
        <v>800</v>
      </c>
      <c r="B35" s="69"/>
      <c r="C35" s="70" t="n">
        <f aca="false">SUM(E35:P35)</f>
        <v>1953259.70755457</v>
      </c>
      <c r="D35" s="70" t="n">
        <f aca="false">SUM(Q35:AB35)</f>
        <v>1817484.50736252</v>
      </c>
      <c r="E35" s="70" t="n">
        <f aca="false">E30+E31+E32+E33+E34</f>
        <v>170994.927536232</v>
      </c>
      <c r="F35" s="70" t="n">
        <f aca="false">F30+F31+F32+F33+F34</f>
        <v>149955.764705882</v>
      </c>
      <c r="G35" s="70" t="n">
        <f aca="false">G30+G31+G32+G33+G34</f>
        <v>148247.17130378</v>
      </c>
      <c r="H35" s="70" t="n">
        <f aca="false">H30+H31+H32+H33+H34</f>
        <v>141622.352385015</v>
      </c>
      <c r="I35" s="70" t="n">
        <f aca="false">I30+I31+I32+I33+I34</f>
        <v>145657.371299352</v>
      </c>
      <c r="J35" s="70" t="n">
        <f aca="false">J30+J31+J32+J33+J34</f>
        <v>168954.204742626</v>
      </c>
      <c r="K35" s="70" t="n">
        <f aca="false">K30+K31+K32+K33+K34</f>
        <v>182781.965065502</v>
      </c>
      <c r="L35" s="70" t="n">
        <f aca="false">L30+L31+L32+L33+L34</f>
        <v>196464.587961827</v>
      </c>
      <c r="M35" s="70" t="n">
        <f aca="false">M30+M31+M32+M33+M34</f>
        <v>187863.190144857</v>
      </c>
      <c r="N35" s="70" t="n">
        <f aca="false">N30+N31+N32+N33+N34</f>
        <v>176574.838134873</v>
      </c>
      <c r="O35" s="70" t="n">
        <f aca="false">O30+O31+O32+O33+O34</f>
        <v>153257.789458816</v>
      </c>
      <c r="P35" s="70" t="n">
        <f aca="false">P30+P31+P32+P33+P34</f>
        <v>130885.544815814</v>
      </c>
      <c r="Q35" s="70" t="n">
        <f aca="false">Q30+Q31+Q32+Q33+Q34</f>
        <v>137160.376909473</v>
      </c>
      <c r="R35" s="70" t="n">
        <f aca="false">R30+R31+R32+R33+R34</f>
        <v>142234.56127996</v>
      </c>
      <c r="S35" s="70" t="n">
        <f aca="false">S30+S31+S32+S33+S34</f>
        <v>159152.872404068</v>
      </c>
      <c r="T35" s="70" t="n">
        <f aca="false">T30+T31+T32+T33+T34</f>
        <v>162080.092076918</v>
      </c>
      <c r="U35" s="70" t="n">
        <f aca="false">U30+U31+U32+U33+U34</f>
        <v>164040.792025014</v>
      </c>
      <c r="V35" s="70" t="n">
        <f aca="false">V30+V31+V32+V33+V34</f>
        <v>166137.17028791</v>
      </c>
      <c r="W35" s="70" t="n">
        <f aca="false">W30+W31+W32+W33+W34</f>
        <v>153415.055206831</v>
      </c>
      <c r="X35" s="70" t="n">
        <f aca="false">X30+X31+X32+X33+X34</f>
        <v>148439.324133102</v>
      </c>
      <c r="Y35" s="70" t="n">
        <f aca="false">Y30+Y31+Y32+Y33+Y34</f>
        <v>146968.950170874</v>
      </c>
      <c r="Z35" s="70" t="n">
        <f aca="false">Z30+Z31+Z32+Z33+Z34</f>
        <v>148681.595914995</v>
      </c>
      <c r="AA35" s="70" t="n">
        <f aca="false">AA30+AA31+AA32+AA33+AA34</f>
        <v>147857.065682124</v>
      </c>
      <c r="AB35" s="70" t="n">
        <f aca="false">AB30+AB31+AB32+AB33+AB34</f>
        <v>141316.651271252</v>
      </c>
    </row>
    <row r="36" customFormat="false" ht="15" hidden="false" customHeight="false" outlineLevel="0" collapsed="false">
      <c r="A36" s="28" t="s">
        <v>1196</v>
      </c>
      <c r="B36" s="58"/>
      <c r="C36" s="59" t="n">
        <f aca="false">SUM(E36:P36)</f>
        <v>793484.732813903</v>
      </c>
      <c r="D36" s="59" t="n">
        <f aca="false">SUM(Q36:AB36)</f>
        <v>710553.661498225</v>
      </c>
      <c r="E36" s="60" t="n">
        <f aca="false">Clients!E515/E9</f>
        <v>59521.0720036807</v>
      </c>
      <c r="F36" s="60" t="n">
        <f aca="false">Clients!F515/F9</f>
        <v>54794.3299856528</v>
      </c>
      <c r="G36" s="60" t="n">
        <f aca="false">Clients!G515/G9</f>
        <v>61151.0930747097</v>
      </c>
      <c r="H36" s="60" t="n">
        <f aca="false">Clients!H515/H9</f>
        <v>71569.9708286732</v>
      </c>
      <c r="I36" s="60" t="n">
        <f aca="false">Clients!I515/I9</f>
        <v>64890.0016152479</v>
      </c>
      <c r="J36" s="60" t="n">
        <f aca="false">Clients!J515/J9</f>
        <v>56967.8311162522</v>
      </c>
      <c r="K36" s="60" t="n">
        <f aca="false">Clients!K515/K9</f>
        <v>55882.2707423581</v>
      </c>
      <c r="L36" s="60" t="n">
        <f aca="false">Clients!L515/L9</f>
        <v>70102.2415343823</v>
      </c>
      <c r="M36" s="60" t="n">
        <f aca="false">Clients!M515/M9</f>
        <v>64216.3272931067</v>
      </c>
      <c r="N36" s="60" t="n">
        <f aca="false">Clients!N515/N9</f>
        <v>70637.9600224174</v>
      </c>
      <c r="O36" s="60" t="n">
        <f aca="false">Clients!O515/O9</f>
        <v>86692.041845694</v>
      </c>
      <c r="P36" s="60" t="n">
        <f aca="false">Clients!P515/P9</f>
        <v>77059.592751728</v>
      </c>
      <c r="Q36" s="60" t="n">
        <f aca="false">Clients!Q515/Q9</f>
        <v>54583.8781991407</v>
      </c>
      <c r="R36" s="60" t="n">
        <f aca="false">Clients!R515/R9</f>
        <v>54583.8781991407</v>
      </c>
      <c r="S36" s="60" t="n">
        <f aca="false">Clients!S515/S9</f>
        <v>61005.5109284513</v>
      </c>
      <c r="T36" s="60" t="n">
        <f aca="false">Clients!T515/T9</f>
        <v>57794.694563796</v>
      </c>
      <c r="U36" s="60" t="n">
        <f aca="false">Clients!U515/U9</f>
        <v>57794.694563796</v>
      </c>
      <c r="V36" s="60" t="n">
        <f aca="false">Clients!V515/V9</f>
        <v>54904.9598356062</v>
      </c>
      <c r="W36" s="60" t="n">
        <f aca="false">Clients!W515/W9</f>
        <v>49125.4903792266</v>
      </c>
      <c r="X36" s="60" t="n">
        <f aca="false">Clients!X515/X9</f>
        <v>52015.2251074164</v>
      </c>
      <c r="Y36" s="60" t="n">
        <f aca="false">Clients!Y515/Y9</f>
        <v>57794.694563796</v>
      </c>
      <c r="Z36" s="60" t="n">
        <f aca="false">Clients!Z515/Z9</f>
        <v>63574.1640201756</v>
      </c>
      <c r="AA36" s="60" t="n">
        <f aca="false">Clients!AA515/AA9</f>
        <v>78022.8376611246</v>
      </c>
      <c r="AB36" s="60" t="n">
        <f aca="false">Clients!AB515/AB9</f>
        <v>69353.6334765552</v>
      </c>
    </row>
    <row r="37" customFormat="false" ht="15" hidden="false" customHeight="false" outlineLevel="0" collapsed="false">
      <c r="A37" s="28" t="s">
        <v>714</v>
      </c>
      <c r="B37" s="58"/>
      <c r="C37" s="59" t="n">
        <f aca="false">SUM(E37:P37)</f>
        <v>0</v>
      </c>
      <c r="D37" s="59" t="n">
        <f aca="false">SUM(Q37:AB37)</f>
        <v>0</v>
      </c>
      <c r="E37" s="60" t="n">
        <f aca="false">Clients!E516/E9</f>
        <v>0</v>
      </c>
      <c r="F37" s="60" t="n">
        <f aca="false">Clients!F516/F9</f>
        <v>0</v>
      </c>
      <c r="G37" s="60" t="n">
        <f aca="false">Clients!G516/G9</f>
        <v>0</v>
      </c>
      <c r="H37" s="60" t="n">
        <f aca="false">Clients!H516/H9</f>
        <v>0</v>
      </c>
      <c r="I37" s="60" t="n">
        <f aca="false">Clients!I516/I9</f>
        <v>0</v>
      </c>
      <c r="J37" s="60" t="n">
        <f aca="false">Clients!J516/J9</f>
        <v>0</v>
      </c>
      <c r="K37" s="60" t="n">
        <f aca="false">Clients!K516/K9</f>
        <v>0</v>
      </c>
      <c r="L37" s="60" t="n">
        <f aca="false">Clients!L516/L9</f>
        <v>0</v>
      </c>
      <c r="M37" s="60" t="n">
        <f aca="false">Clients!M516/M9</f>
        <v>0</v>
      </c>
      <c r="N37" s="60" t="n">
        <f aca="false">Clients!N516/N9</f>
        <v>0</v>
      </c>
      <c r="O37" s="60" t="n">
        <f aca="false">Clients!O516/O9</f>
        <v>0</v>
      </c>
      <c r="P37" s="60" t="n">
        <f aca="false">Clients!P516/P9</f>
        <v>0</v>
      </c>
      <c r="Q37" s="60" t="n">
        <f aca="false">Clients!Q516/Q9</f>
        <v>0</v>
      </c>
      <c r="R37" s="60" t="n">
        <f aca="false">Clients!R516/R9</f>
        <v>0</v>
      </c>
      <c r="S37" s="60" t="n">
        <f aca="false">Clients!S516/S9</f>
        <v>0</v>
      </c>
      <c r="T37" s="60" t="n">
        <f aca="false">Clients!T516/T9</f>
        <v>0</v>
      </c>
      <c r="U37" s="60" t="n">
        <f aca="false">Clients!U516/U9</f>
        <v>0</v>
      </c>
      <c r="V37" s="60" t="n">
        <f aca="false">Clients!V516/V9</f>
        <v>0</v>
      </c>
      <c r="W37" s="60" t="n">
        <f aca="false">Clients!W516/W9</f>
        <v>0</v>
      </c>
      <c r="X37" s="60" t="n">
        <f aca="false">Clients!X516/X9</f>
        <v>0</v>
      </c>
      <c r="Y37" s="60" t="n">
        <f aca="false">Clients!Y516/Y9</f>
        <v>0</v>
      </c>
      <c r="Z37" s="60" t="n">
        <f aca="false">Clients!Z516/Z9</f>
        <v>0</v>
      </c>
      <c r="AA37" s="60" t="n">
        <f aca="false">Clients!AA516/AA9</f>
        <v>0</v>
      </c>
      <c r="AB37" s="60" t="n">
        <f aca="false">Clients!AB516/AB9</f>
        <v>0</v>
      </c>
    </row>
    <row r="38" customFormat="false" ht="15" hidden="false" customHeight="false" outlineLevel="0" collapsed="false">
      <c r="A38" s="28" t="s">
        <v>717</v>
      </c>
      <c r="B38" s="58"/>
      <c r="C38" s="59" t="n">
        <f aca="false">SUM(E38:P38)</f>
        <v>2766412.38837117</v>
      </c>
      <c r="D38" s="59" t="n">
        <f aca="false">SUM(Q38:AB38)</f>
        <v>2522466.43229111</v>
      </c>
      <c r="E38" s="60" t="n">
        <f aca="false">Clients!E518/E9</f>
        <v>172463.1700023</v>
      </c>
      <c r="F38" s="60" t="n">
        <f aca="false">Clients!F518/F9</f>
        <v>302527.770444763</v>
      </c>
      <c r="G38" s="60" t="n">
        <f aca="false">Clients!G518/G9</f>
        <v>158536.437734292</v>
      </c>
      <c r="H38" s="60" t="n">
        <f aca="false">Clients!H518/H9</f>
        <v>226595.798406531</v>
      </c>
      <c r="I38" s="60" t="n">
        <f aca="false">Clients!I518/I9</f>
        <v>265649.121997369</v>
      </c>
      <c r="J38" s="60" t="n">
        <f aca="false">Clients!J518/J9</f>
        <v>171088.074031232</v>
      </c>
      <c r="K38" s="60" t="n">
        <f aca="false">Clients!K518/K9</f>
        <v>261480.454148472</v>
      </c>
      <c r="L38" s="60" t="n">
        <f aca="false">Clients!L518/L9</f>
        <v>240778.953639135</v>
      </c>
      <c r="M38" s="60" t="n">
        <f aca="false">Clients!M518/M9</f>
        <v>183153.174504951</v>
      </c>
      <c r="N38" s="60" t="n">
        <f aca="false">Clients!N518/N9</f>
        <v>285898.579249434</v>
      </c>
      <c r="O38" s="60" t="n">
        <f aca="false">Clients!O518/O9</f>
        <v>244862.947143956</v>
      </c>
      <c r="P38" s="60" t="n">
        <f aca="false">Clients!P518/P9</f>
        <v>253377.907068729</v>
      </c>
      <c r="Q38" s="60" t="n">
        <f aca="false">Clients!Q518/Q9</f>
        <v>201705.756791717</v>
      </c>
      <c r="R38" s="60" t="n">
        <f aca="false">Clients!R518/R9</f>
        <v>222025.310598613</v>
      </c>
      <c r="S38" s="60" t="n">
        <f aca="false">Clients!S518/S9</f>
        <v>188467.873155998</v>
      </c>
      <c r="T38" s="60" t="n">
        <f aca="false">Clients!T518/T9</f>
        <v>200921.008314044</v>
      </c>
      <c r="U38" s="60" t="n">
        <f aca="false">Clients!U518/U9</f>
        <v>231387.61164035</v>
      </c>
      <c r="V38" s="60" t="n">
        <f aca="false">Clients!V518/V9</f>
        <v>204598.948280013</v>
      </c>
      <c r="W38" s="60" t="n">
        <f aca="false">Clients!W518/W9</f>
        <v>203355.210481409</v>
      </c>
      <c r="X38" s="60" t="n">
        <f aca="false">Clients!X518/X9</f>
        <v>225121.522795501</v>
      </c>
      <c r="Y38" s="60" t="n">
        <f aca="false">Clients!Y518/Y9</f>
        <v>192057.6482299</v>
      </c>
      <c r="Z38" s="60" t="n">
        <f aca="false">Clients!Z518/Z9</f>
        <v>199241.451554868</v>
      </c>
      <c r="AA38" s="60" t="n">
        <f aca="false">Clients!AA518/AA9</f>
        <v>242272.955504555</v>
      </c>
      <c r="AB38" s="60" t="n">
        <f aca="false">Clients!AB518/AB9</f>
        <v>211311.134944147</v>
      </c>
    </row>
    <row r="39" customFormat="false" ht="15" hidden="false" customHeight="false" outlineLevel="0" collapsed="false">
      <c r="A39" s="28" t="s">
        <v>1197</v>
      </c>
      <c r="B39" s="58"/>
      <c r="C39" s="59" t="n">
        <f aca="false">SUM(E39:P39)</f>
        <v>0</v>
      </c>
      <c r="D39" s="59" t="n">
        <f aca="false">SUM(Q39:AB39)</f>
        <v>0</v>
      </c>
      <c r="E39" s="60" t="n">
        <f aca="false">Clients!E521/E9</f>
        <v>0</v>
      </c>
      <c r="F39" s="60" t="n">
        <f aca="false">Clients!F521/F9</f>
        <v>0</v>
      </c>
      <c r="G39" s="60" t="n">
        <f aca="false">Clients!G521/G9</f>
        <v>0</v>
      </c>
      <c r="H39" s="60" t="n">
        <f aca="false">Clients!H521/H9</f>
        <v>0</v>
      </c>
      <c r="I39" s="60" t="n">
        <f aca="false">Clients!I521/I9</f>
        <v>0</v>
      </c>
      <c r="J39" s="60" t="n">
        <f aca="false">Clients!J521/J9</f>
        <v>0</v>
      </c>
      <c r="K39" s="60" t="n">
        <f aca="false">Clients!K521/K9</f>
        <v>0</v>
      </c>
      <c r="L39" s="60" t="n">
        <f aca="false">Clients!L521/L9</f>
        <v>0</v>
      </c>
      <c r="M39" s="60" t="n">
        <f aca="false">Clients!M521/M9</f>
        <v>0</v>
      </c>
      <c r="N39" s="60" t="n">
        <f aca="false">Clients!N521/N9</f>
        <v>0</v>
      </c>
      <c r="O39" s="60" t="n">
        <f aca="false">Clients!O521/O9</f>
        <v>0</v>
      </c>
      <c r="P39" s="60" t="n">
        <f aca="false">Clients!P521/P9</f>
        <v>0</v>
      </c>
      <c r="Q39" s="60" t="n">
        <f aca="false">Clients!Q521/Q9</f>
        <v>0</v>
      </c>
      <c r="R39" s="60" t="n">
        <f aca="false">Clients!R521/R9</f>
        <v>0</v>
      </c>
      <c r="S39" s="60" t="n">
        <f aca="false">Clients!S521/S9</f>
        <v>0</v>
      </c>
      <c r="T39" s="60" t="n">
        <f aca="false">Clients!T521/T9</f>
        <v>0</v>
      </c>
      <c r="U39" s="60" t="n">
        <f aca="false">Clients!U521/U9</f>
        <v>0</v>
      </c>
      <c r="V39" s="60" t="n">
        <f aca="false">Clients!V521/V9</f>
        <v>0</v>
      </c>
      <c r="W39" s="60" t="n">
        <f aca="false">Clients!W521/W9</f>
        <v>0</v>
      </c>
      <c r="X39" s="60" t="n">
        <f aca="false">Clients!X521/X9</f>
        <v>0</v>
      </c>
      <c r="Y39" s="60" t="n">
        <f aca="false">Clients!Y521/Y9</f>
        <v>0</v>
      </c>
      <c r="Z39" s="60" t="n">
        <f aca="false">Clients!Z521/Z9</f>
        <v>0</v>
      </c>
      <c r="AA39" s="60" t="n">
        <f aca="false">Clients!AA521/AA9</f>
        <v>0</v>
      </c>
      <c r="AB39" s="60" t="n">
        <f aca="false">Clients!AB521/AB9</f>
        <v>0</v>
      </c>
    </row>
    <row r="40" customFormat="false" ht="15" hidden="false" customHeight="false" outlineLevel="0" collapsed="false">
      <c r="A40" s="28" t="s">
        <v>1198</v>
      </c>
      <c r="B40" s="58"/>
      <c r="C40" s="59" t="n">
        <f aca="false">P40</f>
        <v>220730.398847694</v>
      </c>
      <c r="D40" s="59" t="n">
        <f aca="false">AB40</f>
        <v>225414.742767228</v>
      </c>
      <c r="E40" s="60" t="n">
        <f aca="false">Clients!E519/E10</f>
        <v>324748.464557839</v>
      </c>
      <c r="F40" s="60" t="n">
        <f aca="false">Clients!F519/F10</f>
        <v>172070.580851307</v>
      </c>
      <c r="G40" s="60" t="n">
        <f aca="false">Clients!G519/G10</f>
        <v>254842.214365506</v>
      </c>
      <c r="H40" s="60" t="n">
        <f aca="false">Clients!H519/H10</f>
        <v>291635.659451659</v>
      </c>
      <c r="I40" s="60" t="n">
        <f aca="false">Clients!I519/I10</f>
        <v>183482.178891413</v>
      </c>
      <c r="J40" s="60" t="n">
        <f aca="false">Clients!J519/J10</f>
        <v>264594.165564297</v>
      </c>
      <c r="K40" s="60" t="n">
        <f aca="false">Clients!K519/K10</f>
        <v>257253.120143036</v>
      </c>
      <c r="L40" s="60" t="n">
        <f aca="false">Clients!L519/L10</f>
        <v>199301.81778909</v>
      </c>
      <c r="M40" s="60" t="n">
        <f aca="false">Clients!M519/M10</f>
        <v>312142.00194076</v>
      </c>
      <c r="N40" s="60" t="n">
        <f aca="false">Clients!N519/N10</f>
        <v>264315.944000431</v>
      </c>
      <c r="O40" s="60" t="n">
        <f aca="false">Clients!O519/O10</f>
        <v>278221.429471078</v>
      </c>
      <c r="P40" s="60" t="n">
        <f aca="false">Clients!P519/P10</f>
        <v>220730.398847694</v>
      </c>
      <c r="Q40" s="60" t="n">
        <f aca="false">Clients!Q519/Q10</f>
        <v>239235.098136502</v>
      </c>
      <c r="R40" s="60" t="n">
        <f aca="false">Clients!R519/R10</f>
        <v>225066.502949137</v>
      </c>
      <c r="S40" s="60" t="n">
        <f aca="false">Clients!S519/S10</f>
        <v>220961.68881203</v>
      </c>
      <c r="T40" s="60" t="n">
        <f aca="false">Clients!T519/T10</f>
        <v>252319.270123372</v>
      </c>
      <c r="U40" s="60" t="n">
        <f aca="false">Clients!U519/U10</f>
        <v>247353.957512908</v>
      </c>
      <c r="V40" s="60" t="n">
        <f aca="false">Clients!V519/V10</f>
        <v>227779.37719609</v>
      </c>
      <c r="W40" s="60" t="n">
        <f aca="false">Clients!W519/W10</f>
        <v>248654.711525147</v>
      </c>
      <c r="X40" s="60" t="n">
        <f aca="false">Clients!X519/X10</f>
        <v>230473.386713557</v>
      </c>
      <c r="Y40" s="60" t="n">
        <f aca="false">Clients!Y519/Y10</f>
        <v>222626.143953674</v>
      </c>
      <c r="Z40" s="60" t="n">
        <f aca="false">Clients!Z519/Z10</f>
        <v>267291.107542592</v>
      </c>
      <c r="AA40" s="60" t="n">
        <f aca="false">Clients!AA519/AA10</f>
        <v>236774.775974703</v>
      </c>
      <c r="AB40" s="60" t="n">
        <f aca="false">Clients!AB519/AB10</f>
        <v>225414.742767228</v>
      </c>
    </row>
    <row r="41" customFormat="false" ht="15" hidden="false" customHeight="false" outlineLevel="0" collapsed="false">
      <c r="A41" s="28" t="s">
        <v>1199</v>
      </c>
      <c r="B41" s="58"/>
      <c r="C41" s="59" t="n">
        <f aca="false">P41</f>
        <v>22184.8162523912</v>
      </c>
      <c r="D41" s="59" t="n">
        <f aca="false">AB41</f>
        <v>23072.2089024869</v>
      </c>
      <c r="E41" s="60" t="n">
        <f aca="false">Clients!E522/E10</f>
        <v>29440.8104363888</v>
      </c>
      <c r="F41" s="60" t="n">
        <f aca="false">Clients!F522/F10</f>
        <v>62324.4322720529</v>
      </c>
      <c r="G41" s="60" t="n">
        <f aca="false">Clients!G522/G10</f>
        <v>56603.4687273272</v>
      </c>
      <c r="H41" s="60" t="n">
        <f aca="false">Clients!H522/H10</f>
        <v>17170.0317460318</v>
      </c>
      <c r="I41" s="60" t="n">
        <f aca="false">Clients!I522/I10</f>
        <v>36049.0181382102</v>
      </c>
      <c r="J41" s="60" t="n">
        <f aca="false">Clients!J522/J10</f>
        <v>20571.4219406345</v>
      </c>
      <c r="K41" s="60" t="n">
        <f aca="false">Clients!K522/K10</f>
        <v>38027.1580989331</v>
      </c>
      <c r="L41" s="60" t="n">
        <f aca="false">Clients!L522/L10</f>
        <v>81232.2646179712</v>
      </c>
      <c r="M41" s="60" t="n">
        <f aca="false">Clients!M522/M10</f>
        <v>24945.3209161097</v>
      </c>
      <c r="N41" s="60" t="n">
        <f aca="false">Clients!N522/N10</f>
        <v>63972.2440547098</v>
      </c>
      <c r="O41" s="60" t="n">
        <f aca="false">Clients!O522/O10</f>
        <v>27640.0989374055</v>
      </c>
      <c r="P41" s="60" t="n">
        <f aca="false">Clients!P522/P10</f>
        <v>22184.8162523912</v>
      </c>
      <c r="Q41" s="60" t="n">
        <f aca="false">Clients!Q522/Q10</f>
        <v>28745.7028949017</v>
      </c>
      <c r="R41" s="60" t="n">
        <f aca="false">Clients!R522/R10</f>
        <v>27611.0040964187</v>
      </c>
      <c r="S41" s="60" t="n">
        <f aca="false">Clients!S522/S10</f>
        <v>29880.4016933846</v>
      </c>
      <c r="T41" s="60" t="n">
        <f aca="false">Clients!T522/T10</f>
        <v>38857.2146843872</v>
      </c>
      <c r="U41" s="60" t="n">
        <f aca="false">Clients!U522/U10</f>
        <v>28367.469962074</v>
      </c>
      <c r="V41" s="60" t="n">
        <f aca="false">Clients!V522/V10</f>
        <v>37502.8103965327</v>
      </c>
      <c r="W41" s="60" t="n">
        <f aca="false">Clients!W522/W10</f>
        <v>48598.1651792231</v>
      </c>
      <c r="X41" s="60" t="n">
        <f aca="false">Clients!X522/X10</f>
        <v>25719.8394322805</v>
      </c>
      <c r="Y41" s="60" t="n">
        <f aca="false">Clients!Y522/Y10</f>
        <v>29880.4016933846</v>
      </c>
      <c r="Z41" s="60" t="n">
        <f aca="false">Clients!Z522/Z10</f>
        <v>31015.1004918676</v>
      </c>
      <c r="AA41" s="60" t="n">
        <f aca="false">Clients!AA522/AA10</f>
        <v>28745.7028949017</v>
      </c>
      <c r="AB41" s="60" t="n">
        <f aca="false">Clients!AB522/AB10</f>
        <v>23072.2089024869</v>
      </c>
    </row>
    <row r="42" customFormat="false" ht="15" hidden="false" customHeight="false" outlineLevel="0" collapsed="false">
      <c r="A42" s="28" t="s">
        <v>1200</v>
      </c>
      <c r="B42" s="58"/>
      <c r="C42" s="59" t="n">
        <f aca="false">P42</f>
        <v>0</v>
      </c>
      <c r="D42" s="59" t="n">
        <f aca="false">AB42</f>
        <v>0</v>
      </c>
      <c r="E42" s="60" t="n">
        <f aca="false">Clients!E523/E10</f>
        <v>36030.4779496652</v>
      </c>
      <c r="F42" s="60" t="n">
        <f aca="false">Clients!F523/F10</f>
        <v>17117.4255391989</v>
      </c>
      <c r="G42" s="60" t="n">
        <f aca="false">Clients!G523/G10</f>
        <v>41078.8525099904</v>
      </c>
      <c r="H42" s="60" t="n">
        <f aca="false">Clients!H523/H10</f>
        <v>51209.2352092352</v>
      </c>
      <c r="I42" s="60" t="n">
        <f aca="false">Clients!I523/I10</f>
        <v>17296.4496154423</v>
      </c>
      <c r="J42" s="60" t="n">
        <f aca="false">Clients!J523/J10</f>
        <v>26644.8513541739</v>
      </c>
      <c r="K42" s="60" t="n">
        <f aca="false">Clients!K523/K10</f>
        <v>57828.5440501093</v>
      </c>
      <c r="L42" s="60" t="n">
        <f aca="false">Clients!L523/L10</f>
        <v>17513.5438072109</v>
      </c>
      <c r="M42" s="60" t="n">
        <f aca="false">Clients!M523/M10</f>
        <v>5140.44132400659</v>
      </c>
      <c r="N42" s="60" t="n">
        <f aca="false">Clients!N523/N10</f>
        <v>35027.0876144218</v>
      </c>
      <c r="O42" s="60" t="n">
        <f aca="false">Clients!O523/O10</f>
        <v>17513.5438072109</v>
      </c>
      <c r="P42" s="60" t="n">
        <f aca="false">Clients!P523/P10</f>
        <v>0</v>
      </c>
      <c r="Q42" s="60" t="n">
        <f aca="false">Clients!Q523/Q10</f>
        <v>35027.0876144218</v>
      </c>
      <c r="R42" s="60" t="n">
        <f aca="false">Clients!R523/R10</f>
        <v>44930.6647480855</v>
      </c>
      <c r="S42" s="60" t="n">
        <f aca="false">Clients!S523/S10</f>
        <v>11404.7380314246</v>
      </c>
      <c r="T42" s="60" t="n">
        <f aca="false">Clients!T523/T10</f>
        <v>32785.3540070988</v>
      </c>
      <c r="U42" s="60" t="n">
        <f aca="false">Clients!U523/U10</f>
        <v>26882.4217258626</v>
      </c>
      <c r="V42" s="60" t="n">
        <f aca="false">Clients!V523/V10</f>
        <v>0</v>
      </c>
      <c r="W42" s="60" t="n">
        <f aca="false">Clients!W523/W10</f>
        <v>32785.3540070988</v>
      </c>
      <c r="X42" s="60" t="n">
        <f aca="false">Clients!X523/X10</f>
        <v>16392.6770035494</v>
      </c>
      <c r="Y42" s="60" t="n">
        <f aca="false">Clients!Y523/Y10</f>
        <v>0</v>
      </c>
      <c r="Z42" s="60" t="n">
        <f aca="false">Clients!Z523/Z10</f>
        <v>32785.3540070988</v>
      </c>
      <c r="AA42" s="60" t="n">
        <f aca="false">Clients!AA523/AA10</f>
        <v>16392.6770035494</v>
      </c>
      <c r="AB42" s="60" t="n">
        <f aca="false">Clients!AB523/AB10</f>
        <v>0</v>
      </c>
    </row>
    <row r="43" customFormat="false" ht="15" hidden="false" customHeight="false" outlineLevel="0" collapsed="false">
      <c r="A43" s="28" t="s">
        <v>1201</v>
      </c>
      <c r="B43" s="58"/>
      <c r="C43" s="59" t="n">
        <f aca="false">P43</f>
        <v>242915.215100085</v>
      </c>
      <c r="D43" s="59" t="n">
        <f aca="false">AB43</f>
        <v>248486.951669715</v>
      </c>
      <c r="E43" s="71" t="n">
        <f aca="false">E40+E41-E42</f>
        <v>318158.797044562</v>
      </c>
      <c r="F43" s="71" t="n">
        <f aca="false">F40+F41-F42</f>
        <v>217277.587584161</v>
      </c>
      <c r="G43" s="71" t="n">
        <f aca="false">G40+G41-G42</f>
        <v>270366.830582843</v>
      </c>
      <c r="H43" s="71" t="n">
        <f aca="false">H40+H41-H42</f>
        <v>257596.455988456</v>
      </c>
      <c r="I43" s="71" t="n">
        <f aca="false">I40+I41-I42</f>
        <v>202234.747414181</v>
      </c>
      <c r="J43" s="71" t="n">
        <f aca="false">J40+J41-J42</f>
        <v>258520.736150758</v>
      </c>
      <c r="K43" s="71" t="n">
        <f aca="false">K40+K41-K42</f>
        <v>237451.73419186</v>
      </c>
      <c r="L43" s="71" t="n">
        <f aca="false">L40+L41-L42</f>
        <v>263020.538599851</v>
      </c>
      <c r="M43" s="71" t="n">
        <f aca="false">M40+M41-M42</f>
        <v>331946.881532863</v>
      </c>
      <c r="N43" s="71" t="n">
        <f aca="false">N40+N41-N42</f>
        <v>293261.100440719</v>
      </c>
      <c r="O43" s="71" t="n">
        <f aca="false">O40+O41-O42</f>
        <v>288347.984601273</v>
      </c>
      <c r="P43" s="71" t="n">
        <f aca="false">P40+P41-P42</f>
        <v>242915.215100085</v>
      </c>
      <c r="Q43" s="71" t="n">
        <f aca="false">Q40+Q41-Q42</f>
        <v>232953.713416982</v>
      </c>
      <c r="R43" s="71" t="n">
        <f aca="false">R40+R41-R42</f>
        <v>207746.84229747</v>
      </c>
      <c r="S43" s="71" t="n">
        <f aca="false">S40+S41-S42</f>
        <v>239437.35247399</v>
      </c>
      <c r="T43" s="71" t="n">
        <f aca="false">T40+T41-T42</f>
        <v>258391.13080066</v>
      </c>
      <c r="U43" s="71" t="n">
        <f aca="false">U40+U41-U42</f>
        <v>248839.00574912</v>
      </c>
      <c r="V43" s="71" t="n">
        <f aca="false">V40+V41-V42</f>
        <v>265282.187592623</v>
      </c>
      <c r="W43" s="71" t="n">
        <f aca="false">W40+W41-W42</f>
        <v>264467.522697271</v>
      </c>
      <c r="X43" s="71" t="n">
        <f aca="false">X40+X41-X42</f>
        <v>239800.549142288</v>
      </c>
      <c r="Y43" s="71" t="n">
        <f aca="false">Y40+Y41-Y42</f>
        <v>252506.545647059</v>
      </c>
      <c r="Z43" s="71" t="n">
        <f aca="false">Z40+Z41-Z42</f>
        <v>265520.854027361</v>
      </c>
      <c r="AA43" s="71" t="n">
        <f aca="false">AA40+AA41-AA42</f>
        <v>249127.801866055</v>
      </c>
      <c r="AB43" s="71" t="n">
        <f aca="false">AB40+AB41-AB42</f>
        <v>248486.951669715</v>
      </c>
    </row>
    <row r="44" customFormat="false" ht="15" hidden="false" customHeight="false" outlineLevel="0" collapsed="false">
      <c r="A44" s="68" t="s">
        <v>1202</v>
      </c>
      <c r="B44" s="69" t="s">
        <v>1203</v>
      </c>
      <c r="C44" s="70" t="n">
        <f aca="false">SUM(E44:P44)</f>
        <v>4597.80898863022</v>
      </c>
      <c r="D44" s="70" t="n">
        <f aca="false">SUM(Q44:AB44)</f>
        <v>0</v>
      </c>
      <c r="E44" s="74" t="n">
        <f aca="false">E43-(SUMIFS(Client_Register!$W$7:$W$28,Client_Register!$D$7:$D$28,"GBP")+SUMIFS(Client_Register!$X$7:$X$28,Client_Register!$D$7:$D$28,"GBP"))-E35-E36-E37+E38+E39</f>
        <v>2120.61339280868</v>
      </c>
      <c r="F44" s="70" t="n">
        <f aca="false">F43-E43-F35-F36-F37+F38+F39</f>
        <v>-3103.53370717366</v>
      </c>
      <c r="G44" s="70" t="n">
        <f aca="false">G43-F43-G35-G36-G37+G38+G39</f>
        <v>2227.41635448459</v>
      </c>
      <c r="H44" s="70" t="n">
        <f aca="false">H43-G43-H35-H36-H37+H38+H39</f>
        <v>633.100598455145</v>
      </c>
      <c r="I44" s="70" t="n">
        <f aca="false">I43-H43-I35-I36-I37+I38+I39</f>
        <v>-259.959491505229</v>
      </c>
      <c r="J44" s="70" t="n">
        <f aca="false">J43-I43-J35-J36-J37+J38+J39</f>
        <v>1452.02690893092</v>
      </c>
      <c r="K44" s="70" t="n">
        <f aca="false">K43-J43-K35-K36-K37+K38+K39</f>
        <v>1747.21638171322</v>
      </c>
      <c r="L44" s="70" t="n">
        <f aca="false">L43-K43-L35-L36-L37+L38+L39</f>
        <v>-219.071449083451</v>
      </c>
      <c r="M44" s="70" t="n">
        <f aca="false">M43-L43-M35-M36-M37+M38+M39</f>
        <v>0</v>
      </c>
      <c r="N44" s="70" t="n">
        <f aca="false">N43-M43-N35-N36-N37+N38+N39</f>
        <v>0</v>
      </c>
      <c r="O44" s="70" t="n">
        <f aca="false">O43-N43-O35-O36-O37+O38+O39</f>
        <v>0</v>
      </c>
      <c r="P44" s="70" t="n">
        <f aca="false">P43-O43-P35-P36-P37+P38+P39</f>
        <v>0</v>
      </c>
      <c r="Q44" s="70" t="n">
        <f aca="false">Q43-P43-Q35-Q36-Q37+Q38+Q39</f>
        <v>0</v>
      </c>
      <c r="R44" s="70" t="n">
        <f aca="false">R43-Q43-R35-R36-R37+R38+R39</f>
        <v>0</v>
      </c>
      <c r="S44" s="70" t="n">
        <f aca="false">S43-R43-S35-S36-S37+S38+S39</f>
        <v>0</v>
      </c>
      <c r="T44" s="70" t="n">
        <f aca="false">T43-S43-T35-T36-T37+T38+T39</f>
        <v>0</v>
      </c>
      <c r="U44" s="70" t="n">
        <f aca="false">U43-T43-U35-U36-U37+U38+U39</f>
        <v>0</v>
      </c>
      <c r="V44" s="70" t="n">
        <f aca="false">V43-U43-V35-V36-V37+V38+V39</f>
        <v>0</v>
      </c>
      <c r="W44" s="70" t="n">
        <f aca="false">W43-V43-W35-W36-W37+W38+W39</f>
        <v>0</v>
      </c>
      <c r="X44" s="70" t="n">
        <f aca="false">X43-W43-X35-X36-X37+X38+X39</f>
        <v>0</v>
      </c>
      <c r="Y44" s="70" t="n">
        <f aca="false">Y43-X43-Y35-Y36-Y37+Y38+Y39</f>
        <v>0</v>
      </c>
      <c r="Z44" s="70" t="n">
        <f aca="false">Z43-Y43-Z35-Z36-Z37+Z38+Z39</f>
        <v>0</v>
      </c>
      <c r="AA44" s="70" t="n">
        <f aca="false">AA43-Z43-AA35-AA36-AA37+AA38+AA39</f>
        <v>0</v>
      </c>
      <c r="AB44" s="70" t="n">
        <f aca="false">AB43-AA43-AB35-AB36-AB37+AB38+AB39</f>
        <v>0</v>
      </c>
    </row>
    <row r="45" customFormat="false" ht="15" hidden="false" customHeight="false" outlineLevel="0" collapsed="false">
      <c r="A45" s="22" t="s">
        <v>1205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row>
    <row r="46" customFormat="false" ht="15" hidden="false" customHeight="false" outlineLevel="0" collapsed="false">
      <c r="A46" s="28" t="s">
        <v>331</v>
      </c>
      <c r="B46" s="58" t="s">
        <v>1194</v>
      </c>
      <c r="C46" s="59" t="n">
        <f aca="false">SUM(E46:P46)</f>
        <v>315758.777639143</v>
      </c>
      <c r="D46" s="59" t="n">
        <f aca="false">SUM(Q46:AB46)</f>
        <v>436184.891341842</v>
      </c>
      <c r="E46" s="60" t="n">
        <f aca="false">Clients!E524/E11</f>
        <v>9294.85825341164</v>
      </c>
      <c r="F46" s="60" t="n">
        <f aca="false">Clients!F524/F11</f>
        <v>9273.30972854494</v>
      </c>
      <c r="G46" s="60" t="n">
        <f aca="false">Clients!G524/G11</f>
        <v>9440.84452645582</v>
      </c>
      <c r="H46" s="60" t="n">
        <f aca="false">Clients!H524/H11</f>
        <v>31896.5517241379</v>
      </c>
      <c r="I46" s="60" t="n">
        <f aca="false">Clients!I524/I11</f>
        <v>31697.0787286901</v>
      </c>
      <c r="J46" s="60" t="n">
        <f aca="false">Clients!J524/J11</f>
        <v>32120.8438232486</v>
      </c>
      <c r="K46" s="60" t="n">
        <f aca="false">Clients!K524/K11</f>
        <v>32344.0709821233</v>
      </c>
      <c r="L46" s="60" t="n">
        <f aca="false">Clients!L524/L11</f>
        <v>32061.0025562151</v>
      </c>
      <c r="M46" s="60" t="n">
        <f aca="false">Clients!M524/M11</f>
        <v>31907.554329079</v>
      </c>
      <c r="N46" s="60" t="n">
        <f aca="false">Clients!N524/N11</f>
        <v>31907.554329079</v>
      </c>
      <c r="O46" s="60" t="n">
        <f aca="false">Clients!O524/O11</f>
        <v>31907.554329079</v>
      </c>
      <c r="P46" s="60" t="n">
        <f aca="false">Clients!P524/P11</f>
        <v>31907.554329079</v>
      </c>
      <c r="Q46" s="60" t="n">
        <f aca="false">Clients!Q524/Q11</f>
        <v>37728.5270783029</v>
      </c>
      <c r="R46" s="60" t="n">
        <f aca="false">Clients!R524/R11</f>
        <v>37728.5270783029</v>
      </c>
      <c r="S46" s="60" t="n">
        <f aca="false">Clients!S524/S11</f>
        <v>37728.5270783029</v>
      </c>
      <c r="T46" s="60" t="n">
        <f aca="false">Clients!T524/T11</f>
        <v>36293.5494998275</v>
      </c>
      <c r="U46" s="60" t="n">
        <f aca="false">Clients!U524/U11</f>
        <v>36293.5494998275</v>
      </c>
      <c r="V46" s="60" t="n">
        <f aca="false">Clients!V524/V11</f>
        <v>36293.5494998275</v>
      </c>
      <c r="W46" s="60" t="n">
        <f aca="false">Clients!W524/W11</f>
        <v>35686.4436012418</v>
      </c>
      <c r="X46" s="60" t="n">
        <f aca="false">Clients!X524/X11</f>
        <v>35686.4436012418</v>
      </c>
      <c r="Y46" s="60" t="n">
        <f aca="false">Clients!Y524/Y11</f>
        <v>35686.4436012418</v>
      </c>
      <c r="Z46" s="60" t="n">
        <f aca="false">Clients!Z524/Z11</f>
        <v>35686.4436012418</v>
      </c>
      <c r="AA46" s="60" t="n">
        <f aca="false">Clients!AA524/AA11</f>
        <v>35686.4436012418</v>
      </c>
      <c r="AB46" s="60" t="n">
        <f aca="false">Clients!AB524/AB11</f>
        <v>35686.4436012418</v>
      </c>
    </row>
    <row r="47" customFormat="false" ht="15" hidden="false" customHeight="false" outlineLevel="0" collapsed="false">
      <c r="A47" s="28" t="s">
        <v>700</v>
      </c>
      <c r="B47" s="58" t="s">
        <v>1194</v>
      </c>
      <c r="C47" s="59" t="n">
        <f aca="false">SUM(E47:P47)</f>
        <v>316955.507887316</v>
      </c>
      <c r="D47" s="59" t="n">
        <f aca="false">SUM(Q47:AB47)</f>
        <v>51103.190116643</v>
      </c>
      <c r="E47" s="60" t="n">
        <f aca="false">Clients!E525/E11</f>
        <v>0</v>
      </c>
      <c r="F47" s="60" t="n">
        <f aca="false">Clients!F525/F11</f>
        <v>5757.51981116169</v>
      </c>
      <c r="G47" s="60" t="n">
        <f aca="false">Clients!G525/G11</f>
        <v>17952.8987683989</v>
      </c>
      <c r="H47" s="60" t="n">
        <f aca="false">Clients!H525/H11</f>
        <v>24660.0431034483</v>
      </c>
      <c r="I47" s="60" t="n">
        <f aca="false">Clients!I525/I11</f>
        <v>31771.5411633685</v>
      </c>
      <c r="J47" s="60" t="n">
        <f aca="false">Clients!J525/J11</f>
        <v>31626.8946957201</v>
      </c>
      <c r="K47" s="60" t="n">
        <f aca="false">Clients!K525/K11</f>
        <v>26681.4633506709</v>
      </c>
      <c r="L47" s="60" t="n">
        <f aca="false">Clients!L525/L11</f>
        <v>26498.6872319224</v>
      </c>
      <c r="M47" s="60" t="n">
        <f aca="false">Clients!M525/M11</f>
        <v>38480.6480419264</v>
      </c>
      <c r="N47" s="60" t="n">
        <f aca="false">Clients!N525/N11</f>
        <v>43897.7151867731</v>
      </c>
      <c r="O47" s="60" t="n">
        <f aca="false">Clients!O525/O11</f>
        <v>40682.9302569213</v>
      </c>
      <c r="P47" s="60" t="n">
        <f aca="false">Clients!P525/P11</f>
        <v>28945.1662770048</v>
      </c>
      <c r="Q47" s="60" t="n">
        <f aca="false">Clients!Q525/Q11</f>
        <v>16608.536787909</v>
      </c>
      <c r="R47" s="60" t="n">
        <f aca="false">Clients!R525/R11</f>
        <v>16608.536787909</v>
      </c>
      <c r="S47" s="60" t="n">
        <f aca="false">Clients!S525/S11</f>
        <v>12775.7975291607</v>
      </c>
      <c r="T47" s="60" t="n">
        <f aca="false">Clients!T525/T11</f>
        <v>5110.31901166432</v>
      </c>
      <c r="U47" s="60" t="n">
        <f aca="false">Clients!U525/U11</f>
        <v>0</v>
      </c>
      <c r="V47" s="60" t="n">
        <f aca="false">Clients!V525/V11</f>
        <v>0</v>
      </c>
      <c r="W47" s="60" t="n">
        <f aca="false">Clients!W525/W11</f>
        <v>0</v>
      </c>
      <c r="X47" s="60" t="n">
        <f aca="false">Clients!X525/X11</f>
        <v>0</v>
      </c>
      <c r="Y47" s="60" t="n">
        <f aca="false">Clients!Y525/Y11</f>
        <v>0</v>
      </c>
      <c r="Z47" s="60" t="n">
        <f aca="false">Clients!Z525/Z11</f>
        <v>0</v>
      </c>
      <c r="AA47" s="60" t="n">
        <f aca="false">Clients!AA525/AA11</f>
        <v>0</v>
      </c>
      <c r="AB47" s="60" t="n">
        <f aca="false">Clients!AB525/AB11</f>
        <v>0</v>
      </c>
    </row>
    <row r="48" customFormat="false" ht="15" hidden="false" customHeight="false" outlineLevel="0" collapsed="false">
      <c r="A48" s="28" t="s">
        <v>333</v>
      </c>
      <c r="B48" s="58" t="s">
        <v>1194</v>
      </c>
      <c r="C48" s="59" t="n">
        <f aca="false">SUM(E48:P48)</f>
        <v>0</v>
      </c>
      <c r="D48" s="59" t="n">
        <f aca="false">SUM(Q48:AB48)</f>
        <v>0</v>
      </c>
      <c r="E48" s="60" t="n">
        <f aca="false">Clients!E526/E11</f>
        <v>0</v>
      </c>
      <c r="F48" s="60" t="n">
        <f aca="false">Clients!F526/F11</f>
        <v>0</v>
      </c>
      <c r="G48" s="60" t="n">
        <f aca="false">Clients!G526/G11</f>
        <v>0</v>
      </c>
      <c r="H48" s="60" t="n">
        <f aca="false">Clients!H526/H11</f>
        <v>0</v>
      </c>
      <c r="I48" s="60" t="n">
        <f aca="false">Clients!I526/I11</f>
        <v>0</v>
      </c>
      <c r="J48" s="60" t="n">
        <f aca="false">Clients!J526/J11</f>
        <v>0</v>
      </c>
      <c r="K48" s="60" t="n">
        <f aca="false">Clients!K526/K11</f>
        <v>0</v>
      </c>
      <c r="L48" s="60" t="n">
        <f aca="false">Clients!L526/L11</f>
        <v>0</v>
      </c>
      <c r="M48" s="60" t="n">
        <f aca="false">Clients!M526/M11</f>
        <v>0</v>
      </c>
      <c r="N48" s="60" t="n">
        <f aca="false">Clients!N526/N11</f>
        <v>0</v>
      </c>
      <c r="O48" s="60" t="n">
        <f aca="false">Clients!O526/O11</f>
        <v>0</v>
      </c>
      <c r="P48" s="60" t="n">
        <f aca="false">Clients!P526/P11</f>
        <v>0</v>
      </c>
      <c r="Q48" s="60" t="n">
        <f aca="false">Clients!Q526/Q11</f>
        <v>0</v>
      </c>
      <c r="R48" s="60" t="n">
        <f aca="false">Clients!R526/R11</f>
        <v>0</v>
      </c>
      <c r="S48" s="60" t="n">
        <f aca="false">Clients!S526/S11</f>
        <v>0</v>
      </c>
      <c r="T48" s="60" t="n">
        <f aca="false">Clients!T526/T11</f>
        <v>0</v>
      </c>
      <c r="U48" s="60" t="n">
        <f aca="false">Clients!U526/U11</f>
        <v>0</v>
      </c>
      <c r="V48" s="60" t="n">
        <f aca="false">Clients!V526/V11</f>
        <v>0</v>
      </c>
      <c r="W48" s="60" t="n">
        <f aca="false">Clients!W526/W11</f>
        <v>0</v>
      </c>
      <c r="X48" s="60" t="n">
        <f aca="false">Clients!X526/X11</f>
        <v>0</v>
      </c>
      <c r="Y48" s="60" t="n">
        <f aca="false">Clients!Y526/Y11</f>
        <v>0</v>
      </c>
      <c r="Z48" s="60" t="n">
        <f aca="false">Clients!Z526/Z11</f>
        <v>0</v>
      </c>
      <c r="AA48" s="60" t="n">
        <f aca="false">Clients!AA526/AA11</f>
        <v>0</v>
      </c>
      <c r="AB48" s="60" t="n">
        <f aca="false">Clients!AB526/AB11</f>
        <v>0</v>
      </c>
    </row>
    <row r="49" customFormat="false" ht="15" hidden="false" customHeight="false" outlineLevel="0" collapsed="false">
      <c r="A49" s="28" t="s">
        <v>334</v>
      </c>
      <c r="B49" s="58" t="s">
        <v>1194</v>
      </c>
      <c r="C49" s="59" t="n">
        <f aca="false">SUM(E49:P49)</f>
        <v>84171.6443005864</v>
      </c>
      <c r="D49" s="59" t="n">
        <f aca="false">SUM(Q49:AB49)</f>
        <v>79351.5005174198</v>
      </c>
      <c r="E49" s="60" t="n">
        <f aca="false">Clients!E527/E11</f>
        <v>5145.75182728464</v>
      </c>
      <c r="F49" s="60" t="n">
        <f aca="false">Clients!F527/F11</f>
        <v>5251.239251391</v>
      </c>
      <c r="G49" s="60" t="n">
        <f aca="false">Clients!G527/G11</f>
        <v>6412.51341029052</v>
      </c>
      <c r="H49" s="60" t="n">
        <f aca="false">Clients!H527/H11</f>
        <v>6804.05172413793</v>
      </c>
      <c r="I49" s="60" t="n">
        <f aca="false">Clients!I527/I11</f>
        <v>7230.30926068706</v>
      </c>
      <c r="J49" s="60" t="n">
        <f aca="false">Clients!J527/J11</f>
        <v>6730.91414185259</v>
      </c>
      <c r="K49" s="60" t="n">
        <f aca="false">Clients!K527/K11</f>
        <v>7076.37571572184</v>
      </c>
      <c r="L49" s="60" t="n">
        <f aca="false">Clients!L527/L11</f>
        <v>7039.46102855162</v>
      </c>
      <c r="M49" s="60" t="n">
        <f aca="false">Clients!M527/M11</f>
        <v>6985.16729906865</v>
      </c>
      <c r="N49" s="60" t="n">
        <f aca="false">Clients!N527/N11</f>
        <v>7683.68402897551</v>
      </c>
      <c r="O49" s="60" t="n">
        <f aca="false">Clients!O527/O11</f>
        <v>9429.97585374267</v>
      </c>
      <c r="P49" s="60" t="n">
        <f aca="false">Clients!P527/P11</f>
        <v>8382.20075888237</v>
      </c>
      <c r="Q49" s="60" t="n">
        <f aca="false">Clients!Q527/Q11</f>
        <v>5937.39220420835</v>
      </c>
      <c r="R49" s="60" t="n">
        <f aca="false">Clients!R527/R11</f>
        <v>5937.39220420835</v>
      </c>
      <c r="S49" s="60" t="n">
        <f aca="false">Clients!S527/S11</f>
        <v>6635.90893411521</v>
      </c>
      <c r="T49" s="60" t="n">
        <f aca="false">Clients!T527/T11</f>
        <v>6985.16729906865</v>
      </c>
      <c r="U49" s="60" t="n">
        <f aca="false">Clients!U527/U11</f>
        <v>6985.16729906865</v>
      </c>
      <c r="V49" s="60" t="n">
        <f aca="false">Clients!V527/V11</f>
        <v>6635.90893411521</v>
      </c>
      <c r="W49" s="60" t="n">
        <f aca="false">Clients!W527/W11</f>
        <v>5343.65298378751</v>
      </c>
      <c r="X49" s="60" t="n">
        <f aca="false">Clients!X527/X11</f>
        <v>5657.9855122456</v>
      </c>
      <c r="Y49" s="60" t="n">
        <f aca="false">Clients!Y527/Y11</f>
        <v>6286.65056916178</v>
      </c>
      <c r="Z49" s="60" t="n">
        <f aca="false">Clients!Z527/Z11</f>
        <v>6915.31562607796</v>
      </c>
      <c r="AA49" s="60" t="n">
        <f aca="false">Clients!AA527/AA11</f>
        <v>8486.9782683684</v>
      </c>
      <c r="AB49" s="60" t="n">
        <f aca="false">Clients!AB527/AB11</f>
        <v>7543.98068299414</v>
      </c>
    </row>
    <row r="50" customFormat="false" ht="15" hidden="false" customHeight="false" outlineLevel="0" collapsed="false">
      <c r="A50" s="28" t="s">
        <v>1195</v>
      </c>
      <c r="B50" s="58" t="s">
        <v>1194</v>
      </c>
      <c r="C50" s="59" t="n">
        <f aca="false">SUM(E50:P50)</f>
        <v>33600</v>
      </c>
      <c r="D50" s="59" t="n">
        <f aca="false">SUM(Q50:AB50)</f>
        <v>0</v>
      </c>
      <c r="E50" s="60" t="n">
        <f aca="false">Clients!E528/E11</f>
        <v>0</v>
      </c>
      <c r="F50" s="60" t="n">
        <f aca="false">Clients!F528/F11</f>
        <v>0</v>
      </c>
      <c r="G50" s="60" t="n">
        <f aca="false">Clients!G528/G11</f>
        <v>0</v>
      </c>
      <c r="H50" s="60" t="n">
        <f aca="false">Clients!H528/H11</f>
        <v>0</v>
      </c>
      <c r="I50" s="60" t="n">
        <f aca="false">Clients!I528/I11</f>
        <v>0</v>
      </c>
      <c r="J50" s="60" t="n">
        <f aca="false">Clients!J528/J11</f>
        <v>0</v>
      </c>
      <c r="K50" s="60" t="n">
        <f aca="false">Clients!K528/K11</f>
        <v>0</v>
      </c>
      <c r="L50" s="60" t="n">
        <f aca="false">Clients!L528/L11</f>
        <v>0</v>
      </c>
      <c r="M50" s="60" t="n">
        <f aca="false">Clients!M528/M11</f>
        <v>5250</v>
      </c>
      <c r="N50" s="60" t="n">
        <f aca="false">Clients!N528/N11</f>
        <v>11550</v>
      </c>
      <c r="O50" s="60" t="n">
        <f aca="false">Clients!O528/O11</f>
        <v>11550</v>
      </c>
      <c r="P50" s="60" t="n">
        <f aca="false">Clients!P528/P11</f>
        <v>5250</v>
      </c>
      <c r="Q50" s="60" t="n">
        <f aca="false">Clients!Q528/Q11</f>
        <v>0</v>
      </c>
      <c r="R50" s="60" t="n">
        <f aca="false">Clients!R528/R11</f>
        <v>0</v>
      </c>
      <c r="S50" s="60" t="n">
        <f aca="false">Clients!S528/S11</f>
        <v>0</v>
      </c>
      <c r="T50" s="60" t="n">
        <f aca="false">Clients!T528/T11</f>
        <v>0</v>
      </c>
      <c r="U50" s="60" t="n">
        <f aca="false">Clients!U528/U11</f>
        <v>0</v>
      </c>
      <c r="V50" s="60" t="n">
        <f aca="false">Clients!V528/V11</f>
        <v>0</v>
      </c>
      <c r="W50" s="60" t="n">
        <f aca="false">Clients!W528/W11</f>
        <v>0</v>
      </c>
      <c r="X50" s="60" t="n">
        <f aca="false">Clients!X528/X11</f>
        <v>0</v>
      </c>
      <c r="Y50" s="60" t="n">
        <f aca="false">Clients!Y528/Y11</f>
        <v>0</v>
      </c>
      <c r="Z50" s="60" t="n">
        <f aca="false">Clients!Z528/Z11</f>
        <v>0</v>
      </c>
      <c r="AA50" s="60" t="n">
        <f aca="false">Clients!AA528/AA11</f>
        <v>0</v>
      </c>
      <c r="AB50" s="60" t="n">
        <f aca="false">Clients!AB528/AB11</f>
        <v>0</v>
      </c>
    </row>
    <row r="51" customFormat="false" ht="15" hidden="false" customHeight="false" outlineLevel="0" collapsed="false">
      <c r="A51" s="68" t="s">
        <v>800</v>
      </c>
      <c r="B51" s="69"/>
      <c r="C51" s="70" t="n">
        <f aca="false">SUM(E51:P51)</f>
        <v>750485.929827046</v>
      </c>
      <c r="D51" s="70" t="n">
        <f aca="false">SUM(Q51:AB51)</f>
        <v>566639.581975905</v>
      </c>
      <c r="E51" s="70" t="n">
        <f aca="false">E46+E47+E48+E49+E50</f>
        <v>14440.6100806963</v>
      </c>
      <c r="F51" s="70" t="n">
        <f aca="false">F46+F47+F48+F49+F50</f>
        <v>20282.0687910976</v>
      </c>
      <c r="G51" s="70" t="n">
        <f aca="false">G46+G47+G48+G49+G50</f>
        <v>33806.2567051453</v>
      </c>
      <c r="H51" s="70" t="n">
        <f aca="false">H46+H47+H48+H49+H50</f>
        <v>63360.6465517241</v>
      </c>
      <c r="I51" s="70" t="n">
        <f aca="false">I46+I47+I48+I49+I50</f>
        <v>70698.9291527456</v>
      </c>
      <c r="J51" s="70" t="n">
        <f aca="false">J46+J47+J48+J49+J50</f>
        <v>70478.6526608213</v>
      </c>
      <c r="K51" s="70" t="n">
        <f aca="false">K46+K47+K48+K49+K50</f>
        <v>66101.9100485161</v>
      </c>
      <c r="L51" s="70" t="n">
        <f aca="false">L46+L47+L48+L49+L50</f>
        <v>65599.1508166891</v>
      </c>
      <c r="M51" s="70" t="n">
        <f aca="false">M46+M47+M48+M49+M50</f>
        <v>82623.3696700741</v>
      </c>
      <c r="N51" s="70" t="n">
        <f aca="false">N46+N47+N48+N49+N50</f>
        <v>95038.9535448276</v>
      </c>
      <c r="O51" s="70" t="n">
        <f aca="false">O46+O47+O48+O49+O50</f>
        <v>93570.460439743</v>
      </c>
      <c r="P51" s="70" t="n">
        <f aca="false">P46+P47+P48+P49+P50</f>
        <v>74484.9213649662</v>
      </c>
      <c r="Q51" s="70" t="n">
        <f aca="false">Q46+Q47+Q48+Q49+Q50</f>
        <v>60274.4560704202</v>
      </c>
      <c r="R51" s="70" t="n">
        <f aca="false">R46+R47+R48+R49+R50</f>
        <v>60274.4560704202</v>
      </c>
      <c r="S51" s="70" t="n">
        <f aca="false">S46+S47+S48+S49+S50</f>
        <v>57140.2335415788</v>
      </c>
      <c r="T51" s="70" t="n">
        <f aca="false">T46+T47+T48+T49+T50</f>
        <v>48389.0358105605</v>
      </c>
      <c r="U51" s="70" t="n">
        <f aca="false">U46+U47+U48+U49+U50</f>
        <v>43278.7167988962</v>
      </c>
      <c r="V51" s="70" t="n">
        <f aca="false">V46+V47+V48+V49+V50</f>
        <v>42929.4584339427</v>
      </c>
      <c r="W51" s="70" t="n">
        <f aca="false">W46+W47+W48+W49+W50</f>
        <v>41030.0965850293</v>
      </c>
      <c r="X51" s="70" t="n">
        <f aca="false">X46+X47+X48+X49+X50</f>
        <v>41344.4291134874</v>
      </c>
      <c r="Y51" s="70" t="n">
        <f aca="false">Y46+Y47+Y48+Y49+Y50</f>
        <v>41973.0941704036</v>
      </c>
      <c r="Z51" s="70" t="n">
        <f aca="false">Z46+Z47+Z48+Z49+Z50</f>
        <v>42601.7592273198</v>
      </c>
      <c r="AA51" s="70" t="n">
        <f aca="false">AA46+AA47+AA48+AA49+AA50</f>
        <v>44173.4218696102</v>
      </c>
      <c r="AB51" s="70" t="n">
        <f aca="false">AB46+AB47+AB48+AB49+AB50</f>
        <v>43230.4242842359</v>
      </c>
    </row>
    <row r="52" customFormat="false" ht="15" hidden="false" customHeight="false" outlineLevel="0" collapsed="false">
      <c r="A52" s="28" t="s">
        <v>1196</v>
      </c>
      <c r="B52" s="58"/>
      <c r="C52" s="59" t="n">
        <f aca="false">SUM(E52:P52)</f>
        <v>935240.47273101</v>
      </c>
      <c r="D52" s="59" t="n">
        <f aca="false">SUM(Q52:AB52)</f>
        <v>881683.339082442</v>
      </c>
      <c r="E52" s="60" t="n">
        <f aca="false">Clients!E529/E11</f>
        <v>57175.0221809117</v>
      </c>
      <c r="F52" s="60" t="n">
        <f aca="false">Clients!F529/F11</f>
        <v>58347.0746922947</v>
      </c>
      <c r="G52" s="60" t="n">
        <f aca="false">Clients!G529/G11</f>
        <v>71250.1394670214</v>
      </c>
      <c r="H52" s="60" t="n">
        <f aca="false">Clients!H529/H11</f>
        <v>75600.5689655173</v>
      </c>
      <c r="I52" s="60" t="n">
        <f aca="false">Clients!I529/I11</f>
        <v>80336.8028784374</v>
      </c>
      <c r="J52" s="60" t="n">
        <f aca="false">Clients!J529/J11</f>
        <v>74787.8895737477</v>
      </c>
      <c r="K52" s="60" t="n">
        <f aca="false">Clients!K529/K11</f>
        <v>78626.4347217973</v>
      </c>
      <c r="L52" s="60" t="n">
        <f aca="false">Clients!L529/L11</f>
        <v>78216.2297994021</v>
      </c>
      <c r="M52" s="60" t="n">
        <f aca="false">Clients!M529/M11</f>
        <v>77612.9699896516</v>
      </c>
      <c r="N52" s="60" t="n">
        <f aca="false">Clients!N529/N11</f>
        <v>85374.2669886168</v>
      </c>
      <c r="O52" s="60" t="n">
        <f aca="false">Clients!O529/O11</f>
        <v>104777.50948603</v>
      </c>
      <c r="P52" s="60" t="n">
        <f aca="false">Clients!P529/P11</f>
        <v>93135.5639875819</v>
      </c>
      <c r="Q52" s="60" t="n">
        <f aca="false">Clients!Q529/Q11</f>
        <v>65971.0244912039</v>
      </c>
      <c r="R52" s="60" t="n">
        <f aca="false">Clients!R529/R11</f>
        <v>65971.0244912039</v>
      </c>
      <c r="S52" s="60" t="n">
        <f aca="false">Clients!S529/S11</f>
        <v>73732.321490169</v>
      </c>
      <c r="T52" s="60" t="n">
        <f aca="false">Clients!T529/T11</f>
        <v>77612.9699896516</v>
      </c>
      <c r="U52" s="60" t="n">
        <f aca="false">Clients!U529/U11</f>
        <v>77612.9699896516</v>
      </c>
      <c r="V52" s="60" t="n">
        <f aca="false">Clients!V529/V11</f>
        <v>73732.321490169</v>
      </c>
      <c r="W52" s="60" t="n">
        <f aca="false">Clients!W529/W11</f>
        <v>59373.9220420835</v>
      </c>
      <c r="X52" s="60" t="n">
        <f aca="false">Clients!X529/X11</f>
        <v>62866.5056916178</v>
      </c>
      <c r="Y52" s="60" t="n">
        <f aca="false">Clients!Y529/Y11</f>
        <v>69851.6729906865</v>
      </c>
      <c r="Z52" s="60" t="n">
        <f aca="false">Clients!Z529/Z11</f>
        <v>76836.8402897551</v>
      </c>
      <c r="AA52" s="60" t="n">
        <f aca="false">Clients!AA529/AA11</f>
        <v>94299.7585374267</v>
      </c>
      <c r="AB52" s="60" t="n">
        <f aca="false">Clients!AB529/AB11</f>
        <v>83822.0075888237</v>
      </c>
    </row>
    <row r="53" customFormat="false" ht="15" hidden="false" customHeight="false" outlineLevel="0" collapsed="false">
      <c r="A53" s="28" t="s">
        <v>714</v>
      </c>
      <c r="B53" s="58"/>
      <c r="C53" s="59" t="n">
        <f aca="false">SUM(E53:P53)</f>
        <v>0</v>
      </c>
      <c r="D53" s="59" t="n">
        <f aca="false">SUM(Q53:AB53)</f>
        <v>0</v>
      </c>
      <c r="E53" s="60" t="n">
        <f aca="false">Clients!E530/E11</f>
        <v>0</v>
      </c>
      <c r="F53" s="60" t="n">
        <f aca="false">Clients!F530/F11</f>
        <v>0</v>
      </c>
      <c r="G53" s="60" t="n">
        <f aca="false">Clients!G530/G11</f>
        <v>0</v>
      </c>
      <c r="H53" s="60" t="n">
        <f aca="false">Clients!H530/H11</f>
        <v>0</v>
      </c>
      <c r="I53" s="60" t="n">
        <f aca="false">Clients!I530/I11</f>
        <v>0</v>
      </c>
      <c r="J53" s="60" t="n">
        <f aca="false">Clients!J530/J11</f>
        <v>0</v>
      </c>
      <c r="K53" s="60" t="n">
        <f aca="false">Clients!K530/K11</f>
        <v>0</v>
      </c>
      <c r="L53" s="60" t="n">
        <f aca="false">Clients!L530/L11</f>
        <v>0</v>
      </c>
      <c r="M53" s="60" t="n">
        <f aca="false">Clients!M530/M11</f>
        <v>0</v>
      </c>
      <c r="N53" s="60" t="n">
        <f aca="false">Clients!N530/N11</f>
        <v>0</v>
      </c>
      <c r="O53" s="60" t="n">
        <f aca="false">Clients!O530/O11</f>
        <v>0</v>
      </c>
      <c r="P53" s="60" t="n">
        <f aca="false">Clients!P530/P11</f>
        <v>0</v>
      </c>
      <c r="Q53" s="60" t="n">
        <f aca="false">Clients!Q530/Q11</f>
        <v>0</v>
      </c>
      <c r="R53" s="60" t="n">
        <f aca="false">Clients!R530/R11</f>
        <v>0</v>
      </c>
      <c r="S53" s="60" t="n">
        <f aca="false">Clients!S530/S11</f>
        <v>0</v>
      </c>
      <c r="T53" s="60" t="n">
        <f aca="false">Clients!T530/T11</f>
        <v>0</v>
      </c>
      <c r="U53" s="60" t="n">
        <f aca="false">Clients!U530/U11</f>
        <v>0</v>
      </c>
      <c r="V53" s="60" t="n">
        <f aca="false">Clients!V530/V11</f>
        <v>0</v>
      </c>
      <c r="W53" s="60" t="n">
        <f aca="false">Clients!W530/W11</f>
        <v>0</v>
      </c>
      <c r="X53" s="60" t="n">
        <f aca="false">Clients!X530/X11</f>
        <v>0</v>
      </c>
      <c r="Y53" s="60" t="n">
        <f aca="false">Clients!Y530/Y11</f>
        <v>0</v>
      </c>
      <c r="Z53" s="60" t="n">
        <f aca="false">Clients!Z530/Z11</f>
        <v>0</v>
      </c>
      <c r="AA53" s="60" t="n">
        <f aca="false">Clients!AA530/AA11</f>
        <v>0</v>
      </c>
      <c r="AB53" s="60" t="n">
        <f aca="false">Clients!AB530/AB11</f>
        <v>0</v>
      </c>
    </row>
    <row r="54" customFormat="false" ht="15" hidden="false" customHeight="false" outlineLevel="0" collapsed="false">
      <c r="A54" s="28" t="s">
        <v>717</v>
      </c>
      <c r="B54" s="58"/>
      <c r="C54" s="59" t="n">
        <f aca="false">SUM(E54:P54)</f>
        <v>1557613.86061517</v>
      </c>
      <c r="D54" s="59" t="n">
        <f aca="false">SUM(Q54:AB54)</f>
        <v>1534835.36564333</v>
      </c>
      <c r="E54" s="60" t="n">
        <f aca="false">Clients!E532/E11</f>
        <v>91337.7244497022</v>
      </c>
      <c r="F54" s="60" t="n">
        <f aca="false">Clients!F532/F11</f>
        <v>122374.683864441</v>
      </c>
      <c r="G54" s="60" t="n">
        <f aca="false">Clients!G532/G11</f>
        <v>99282.2383384114</v>
      </c>
      <c r="H54" s="60" t="n">
        <f aca="false">Clients!H532/H11</f>
        <v>108132.818965517</v>
      </c>
      <c r="I54" s="60" t="n">
        <f aca="false">Clients!I532/I11</f>
        <v>105239.84408464</v>
      </c>
      <c r="J54" s="60" t="n">
        <f aca="false">Clients!J532/J11</f>
        <v>85004.1062592239</v>
      </c>
      <c r="K54" s="60" t="n">
        <f aca="false">Clients!K532/K11</f>
        <v>174841.907426024</v>
      </c>
      <c r="L54" s="60" t="n">
        <f aca="false">Clients!L532/L11</f>
        <v>130935.670031628</v>
      </c>
      <c r="M54" s="60" t="n">
        <f aca="false">Clients!M532/M11</f>
        <v>121900.448430493</v>
      </c>
      <c r="N54" s="60" t="n">
        <f aca="false">Clients!N532/N11</f>
        <v>139882.959641256</v>
      </c>
      <c r="O54" s="60" t="n">
        <f aca="false">Clients!O532/O11</f>
        <v>181821.86961021</v>
      </c>
      <c r="P54" s="60" t="n">
        <f aca="false">Clients!P532/P11</f>
        <v>196859.589513625</v>
      </c>
      <c r="Q54" s="60" t="n">
        <f aca="false">Clients!Q532/Q11</f>
        <v>201082.821662642</v>
      </c>
      <c r="R54" s="60" t="n">
        <f aca="false">Clients!R532/R11</f>
        <v>154483.399448086</v>
      </c>
      <c r="S54" s="60" t="n">
        <f aca="false">Clients!S532/S11</f>
        <v>123434.805105209</v>
      </c>
      <c r="T54" s="60" t="n">
        <f aca="false">Clients!T532/T11</f>
        <v>123434.805105209</v>
      </c>
      <c r="U54" s="60" t="n">
        <f aca="false">Clients!U532/U11</f>
        <v>127727.66471197</v>
      </c>
      <c r="V54" s="60" t="n">
        <f aca="false">Clients!V532/V11</f>
        <v>131240.082787168</v>
      </c>
      <c r="W54" s="60" t="n">
        <f aca="false">Clients!W532/W11</f>
        <v>120891.686788548</v>
      </c>
      <c r="X54" s="60" t="n">
        <f aca="false">Clients!X532/X11</f>
        <v>116661.779924112</v>
      </c>
      <c r="Y54" s="60" t="n">
        <f aca="false">Clients!Y532/Y11</f>
        <v>100404.018627113</v>
      </c>
      <c r="Z54" s="60" t="n">
        <f aca="false">Clients!Z532/Z11</f>
        <v>104210.934805105</v>
      </c>
      <c r="AA54" s="60" t="n">
        <f aca="false">Clients!AA532/AA11</f>
        <v>111824.76716109</v>
      </c>
      <c r="AB54" s="60" t="n">
        <f aca="false">Clients!AB532/AB11</f>
        <v>119438.599517075</v>
      </c>
    </row>
    <row r="55" customFormat="false" ht="15" hidden="false" customHeight="false" outlineLevel="0" collapsed="false">
      <c r="A55" s="28" t="s">
        <v>1197</v>
      </c>
      <c r="B55" s="58"/>
      <c r="C55" s="59" t="n">
        <f aca="false">SUM(E55:P55)</f>
        <v>7114.5222490514</v>
      </c>
      <c r="D55" s="59" t="n">
        <f aca="false">SUM(Q55:AB55)</f>
        <v>0</v>
      </c>
      <c r="E55" s="60" t="n">
        <f aca="false">Clients!E535/E11</f>
        <v>0</v>
      </c>
      <c r="F55" s="60" t="n">
        <f aca="false">Clients!F535/F11</f>
        <v>0</v>
      </c>
      <c r="G55" s="60" t="n">
        <f aca="false">Clients!G535/G11</f>
        <v>0</v>
      </c>
      <c r="H55" s="60" t="n">
        <f aca="false">Clients!H535/H11</f>
        <v>0</v>
      </c>
      <c r="I55" s="60" t="n">
        <f aca="false">Clients!I535/I11</f>
        <v>0</v>
      </c>
      <c r="J55" s="60" t="n">
        <f aca="false">Clients!J535/J11</f>
        <v>0</v>
      </c>
      <c r="K55" s="60" t="n">
        <f aca="false">Clients!K535/K11</f>
        <v>0</v>
      </c>
      <c r="L55" s="60" t="n">
        <f aca="false">Clients!L535/L11</f>
        <v>0</v>
      </c>
      <c r="M55" s="60" t="n">
        <f aca="false">Clients!M535/M11</f>
        <v>0</v>
      </c>
      <c r="N55" s="60" t="n">
        <f aca="false">Clients!N535/N11</f>
        <v>0</v>
      </c>
      <c r="O55" s="60" t="n">
        <f aca="false">Clients!O535/O11</f>
        <v>7114.5222490514</v>
      </c>
      <c r="P55" s="60" t="n">
        <f aca="false">Clients!P535/P11</f>
        <v>0</v>
      </c>
      <c r="Q55" s="60" t="n">
        <f aca="false">Clients!Q535/Q11</f>
        <v>0</v>
      </c>
      <c r="R55" s="60" t="n">
        <f aca="false">Clients!R535/R11</f>
        <v>0</v>
      </c>
      <c r="S55" s="60" t="n">
        <f aca="false">Clients!S535/S11</f>
        <v>0</v>
      </c>
      <c r="T55" s="60" t="n">
        <f aca="false">Clients!T535/T11</f>
        <v>0</v>
      </c>
      <c r="U55" s="60" t="n">
        <f aca="false">Clients!U535/U11</f>
        <v>0</v>
      </c>
      <c r="V55" s="60" t="n">
        <f aca="false">Clients!V535/V11</f>
        <v>0</v>
      </c>
      <c r="W55" s="60" t="n">
        <f aca="false">Clients!W535/W11</f>
        <v>0</v>
      </c>
      <c r="X55" s="60" t="n">
        <f aca="false">Clients!X535/X11</f>
        <v>0</v>
      </c>
      <c r="Y55" s="60" t="n">
        <f aca="false">Clients!Y535/Y11</f>
        <v>0</v>
      </c>
      <c r="Z55" s="60" t="n">
        <f aca="false">Clients!Z535/Z11</f>
        <v>0</v>
      </c>
      <c r="AA55" s="60" t="n">
        <f aca="false">Clients!AA535/AA11</f>
        <v>0</v>
      </c>
      <c r="AB55" s="60" t="n">
        <f aca="false">Clients!AB535/AB11</f>
        <v>0</v>
      </c>
    </row>
    <row r="56" customFormat="false" ht="15" hidden="false" customHeight="false" outlineLevel="0" collapsed="false">
      <c r="A56" s="28" t="s">
        <v>1198</v>
      </c>
      <c r="B56" s="58"/>
      <c r="C56" s="59" t="n">
        <f aca="false">P56</f>
        <v>341444.972404277</v>
      </c>
      <c r="D56" s="59" t="n">
        <f aca="false">AB56</f>
        <v>252121.852362884</v>
      </c>
      <c r="E56" s="60" t="n">
        <f aca="false">Clients!E533/E12</f>
        <v>193247.87314372</v>
      </c>
      <c r="F56" s="60" t="n">
        <f aca="false">Clients!F533/F12</f>
        <v>198739.18678526</v>
      </c>
      <c r="G56" s="60" t="n">
        <f aca="false">Clients!G533/G12</f>
        <v>191704.25291355</v>
      </c>
      <c r="H56" s="60" t="n">
        <f aca="false">Clients!H533/H12</f>
        <v>194476.875747735</v>
      </c>
      <c r="I56" s="60" t="n">
        <f aca="false">Clients!I533/I12</f>
        <v>223675.249055307</v>
      </c>
      <c r="J56" s="60" t="n">
        <f aca="false">Clients!J533/J12</f>
        <v>316774.39002984</v>
      </c>
      <c r="K56" s="60" t="n">
        <f aca="false">Clients!K533/K12</f>
        <v>257694.444928167</v>
      </c>
      <c r="L56" s="60" t="n">
        <f aca="false">Clients!L533/L12</f>
        <v>241673.930665747</v>
      </c>
      <c r="M56" s="60" t="n">
        <f aca="false">Clients!M533/M12</f>
        <v>282534.692997585</v>
      </c>
      <c r="N56" s="60" t="n">
        <f aca="false">Clients!N533/N12</f>
        <v>337765.031045188</v>
      </c>
      <c r="O56" s="60" t="n">
        <f aca="false">Clients!O533/O12</f>
        <v>368584.054846499</v>
      </c>
      <c r="P56" s="60" t="n">
        <f aca="false">Clients!P533/P12</f>
        <v>341444.972404277</v>
      </c>
      <c r="Q56" s="60" t="n">
        <f aca="false">Clients!Q533/Q12</f>
        <v>249999.09451535</v>
      </c>
      <c r="R56" s="60" t="n">
        <f aca="false">Clients!R533/R12</f>
        <v>232748.361503967</v>
      </c>
      <c r="S56" s="60" t="n">
        <f aca="false">Clients!S533/S12</f>
        <v>227410.313901345</v>
      </c>
      <c r="T56" s="60" t="n">
        <f aca="false">Clients!T533/T12</f>
        <v>245563.987581925</v>
      </c>
      <c r="U56" s="60" t="n">
        <f aca="false">Clients!U533/U12</f>
        <v>238728.009658503</v>
      </c>
      <c r="V56" s="60" t="n">
        <f aca="false">Clients!V533/V12</f>
        <v>224149.706795447</v>
      </c>
      <c r="W56" s="60" t="n">
        <f aca="false">Clients!W533/W12</f>
        <v>203662.038634012</v>
      </c>
      <c r="X56" s="60" t="n">
        <f aca="false">Clients!X533/X12</f>
        <v>191211.193515005</v>
      </c>
      <c r="Y56" s="60" t="n">
        <f aca="false">Clients!Y533/Y12</f>
        <v>202631.942048982</v>
      </c>
      <c r="Z56" s="60" t="n">
        <f aca="false">Clients!Z533/Z12</f>
        <v>217859.606760952</v>
      </c>
      <c r="AA56" s="60" t="n">
        <f aca="false">Clients!AA533/AA12</f>
        <v>244508.020006899</v>
      </c>
      <c r="AB56" s="60" t="n">
        <f aca="false">Clients!AB533/AB12</f>
        <v>252121.852362884</v>
      </c>
    </row>
    <row r="57" customFormat="false" ht="15" hidden="false" customHeight="false" outlineLevel="0" collapsed="false">
      <c r="A57" s="28" t="s">
        <v>1199</v>
      </c>
      <c r="B57" s="58"/>
      <c r="C57" s="59" t="n">
        <f aca="false">P57</f>
        <v>0</v>
      </c>
      <c r="D57" s="59" t="n">
        <f aca="false">AB57</f>
        <v>0</v>
      </c>
      <c r="E57" s="60" t="n">
        <f aca="false">Clients!E536/E12</f>
        <v>0</v>
      </c>
      <c r="F57" s="60" t="n">
        <f aca="false">Clients!F536/F12</f>
        <v>0</v>
      </c>
      <c r="G57" s="60" t="n">
        <f aca="false">Clients!G536/G12</f>
        <v>0</v>
      </c>
      <c r="H57" s="60" t="n">
        <f aca="false">Clients!H536/H12</f>
        <v>0</v>
      </c>
      <c r="I57" s="60" t="n">
        <f aca="false">Clients!I536/I12</f>
        <v>11971.7966334593</v>
      </c>
      <c r="J57" s="60" t="n">
        <f aca="false">Clients!J536/J12</f>
        <v>0</v>
      </c>
      <c r="K57" s="60" t="n">
        <f aca="false">Clients!K536/K12</f>
        <v>11661.5063125816</v>
      </c>
      <c r="L57" s="60" t="n">
        <f aca="false">Clients!L536/L12</f>
        <v>37921.7402552604</v>
      </c>
      <c r="M57" s="60" t="n">
        <f aca="false">Clients!M536/M12</f>
        <v>50272.6884006708</v>
      </c>
      <c r="N57" s="60" t="n">
        <f aca="false">Clients!N536/N12</f>
        <v>20696.7919972404</v>
      </c>
      <c r="O57" s="60" t="n">
        <f aca="false">Clients!O536/O12</f>
        <v>14875.8192480166</v>
      </c>
      <c r="P57" s="60" t="n">
        <f aca="false">Clients!P536/P12</f>
        <v>0</v>
      </c>
      <c r="Q57" s="60" t="n">
        <f aca="false">Clients!Q536/Q12</f>
        <v>13797.8613314936</v>
      </c>
      <c r="R57" s="60" t="n">
        <f aca="false">Clients!R536/R12</f>
        <v>2810.67545641538</v>
      </c>
      <c r="S57" s="60" t="n">
        <f aca="false">Clients!S536/S12</f>
        <v>15586.4729855761</v>
      </c>
      <c r="T57" s="60" t="n">
        <f aca="false">Clients!T536/T12</f>
        <v>0</v>
      </c>
      <c r="U57" s="60" t="n">
        <f aca="false">Clients!U536/U12</f>
        <v>0</v>
      </c>
      <c r="V57" s="60" t="n">
        <f aca="false">Clients!V536/V12</f>
        <v>0</v>
      </c>
      <c r="W57" s="60" t="n">
        <f aca="false">Clients!W536/W12</f>
        <v>0</v>
      </c>
      <c r="X57" s="60" t="n">
        <f aca="false">Clients!X536/X12</f>
        <v>0</v>
      </c>
      <c r="Y57" s="60" t="n">
        <f aca="false">Clients!Y536/Y12</f>
        <v>0</v>
      </c>
      <c r="Z57" s="60" t="n">
        <f aca="false">Clients!Z536/Z12</f>
        <v>0</v>
      </c>
      <c r="AA57" s="60" t="n">
        <f aca="false">Clients!AA536/AA12</f>
        <v>0</v>
      </c>
      <c r="AB57" s="60" t="n">
        <f aca="false">Clients!AB536/AB12</f>
        <v>0</v>
      </c>
    </row>
    <row r="58" customFormat="false" ht="15" hidden="false" customHeight="false" outlineLevel="0" collapsed="false">
      <c r="A58" s="28" t="s">
        <v>1200</v>
      </c>
      <c r="B58" s="58"/>
      <c r="C58" s="59" t="n">
        <f aca="false">P58</f>
        <v>2810.67545641537</v>
      </c>
      <c r="D58" s="59" t="n">
        <f aca="false">AB58</f>
        <v>-0</v>
      </c>
      <c r="E58" s="60" t="n">
        <f aca="false">Clients!E537/E12</f>
        <v>-0</v>
      </c>
      <c r="F58" s="60" t="n">
        <f aca="false">Clients!F537/F12</f>
        <v>47581.8975010589</v>
      </c>
      <c r="G58" s="60" t="n">
        <f aca="false">Clients!G537/G12</f>
        <v>30659.7756131501</v>
      </c>
      <c r="H58" s="60" t="n">
        <f aca="false">Clients!H537/H12</f>
        <v>5680.19142027004</v>
      </c>
      <c r="I58" s="60" t="n">
        <f aca="false">Clients!I537/I12</f>
        <v>0</v>
      </c>
      <c r="J58" s="60" t="n">
        <f aca="false">Clients!J537/J12</f>
        <v>15033.3684395296</v>
      </c>
      <c r="K58" s="60" t="n">
        <f aca="false">Clients!K537/K12</f>
        <v>0</v>
      </c>
      <c r="L58" s="60" t="n">
        <f aca="false">Clients!L537/L12</f>
        <v>0</v>
      </c>
      <c r="M58" s="60" t="n">
        <f aca="false">Clients!M537/M12</f>
        <v>14875.8192480166</v>
      </c>
      <c r="N58" s="60" t="n">
        <f aca="false">Clients!N537/N12</f>
        <v>0</v>
      </c>
      <c r="O58" s="60" t="n">
        <f aca="false">Clients!O537/O12</f>
        <v>15586.4729855761</v>
      </c>
      <c r="P58" s="60" t="n">
        <f aca="false">Clients!P537/P12</f>
        <v>2810.67545641537</v>
      </c>
      <c r="Q58" s="60" t="n">
        <f aca="false">Clients!Q537/Q12</f>
        <v>0</v>
      </c>
      <c r="R58" s="60" t="n">
        <f aca="false">Clients!R537/R12</f>
        <v>0</v>
      </c>
      <c r="S58" s="60" t="n">
        <f aca="false">Clients!S537/S12</f>
        <v>0</v>
      </c>
      <c r="T58" s="60" t="n">
        <f aca="false">Clients!T537/T12</f>
        <v>-0</v>
      </c>
      <c r="U58" s="60" t="n">
        <f aca="false">Clients!U537/U12</f>
        <v>-0</v>
      </c>
      <c r="V58" s="60" t="n">
        <f aca="false">Clients!V537/V12</f>
        <v>-0</v>
      </c>
      <c r="W58" s="60" t="n">
        <f aca="false">Clients!W537/W12</f>
        <v>-0</v>
      </c>
      <c r="X58" s="60" t="n">
        <f aca="false">Clients!X537/X12</f>
        <v>-0</v>
      </c>
      <c r="Y58" s="60" t="n">
        <f aca="false">Clients!Y537/Y12</f>
        <v>-0</v>
      </c>
      <c r="Z58" s="60" t="n">
        <f aca="false">Clients!Z537/Z12</f>
        <v>-0</v>
      </c>
      <c r="AA58" s="60" t="n">
        <f aca="false">Clients!AA537/AA12</f>
        <v>-0</v>
      </c>
      <c r="AB58" s="60" t="n">
        <f aca="false">Clients!AB537/AB12</f>
        <v>-0</v>
      </c>
    </row>
    <row r="59" customFormat="false" ht="15" hidden="false" customHeight="false" outlineLevel="0" collapsed="false">
      <c r="A59" s="28" t="s">
        <v>1201</v>
      </c>
      <c r="B59" s="58"/>
      <c r="C59" s="59" t="n">
        <f aca="false">P59</f>
        <v>338634.296947862</v>
      </c>
      <c r="D59" s="59" t="n">
        <f aca="false">AB59</f>
        <v>252121.852362884</v>
      </c>
      <c r="E59" s="71" t="n">
        <f aca="false">E56+E57-E58</f>
        <v>193247.87314372</v>
      </c>
      <c r="F59" s="71" t="n">
        <f aca="false">F56+F57-F58</f>
        <v>151157.289284202</v>
      </c>
      <c r="G59" s="71" t="n">
        <f aca="false">G56+G57-G58</f>
        <v>161044.4773004</v>
      </c>
      <c r="H59" s="71" t="n">
        <f aca="false">H56+H57-H58</f>
        <v>188796.684327465</v>
      </c>
      <c r="I59" s="71" t="n">
        <f aca="false">I56+I57-I58</f>
        <v>235647.045688767</v>
      </c>
      <c r="J59" s="71" t="n">
        <f aca="false">J56+J57-J58</f>
        <v>301741.021590311</v>
      </c>
      <c r="K59" s="71" t="n">
        <f aca="false">K56+K57-K58</f>
        <v>269355.951240749</v>
      </c>
      <c r="L59" s="71" t="n">
        <f aca="false">L56+L57-L58</f>
        <v>279595.670921007</v>
      </c>
      <c r="M59" s="71" t="n">
        <f aca="false">M56+M57-M58</f>
        <v>317931.56215024</v>
      </c>
      <c r="N59" s="71" t="n">
        <f aca="false">N56+N57-N58</f>
        <v>358461.823042428</v>
      </c>
      <c r="O59" s="71" t="n">
        <f aca="false">O56+O57-O58</f>
        <v>367873.401108939</v>
      </c>
      <c r="P59" s="71" t="n">
        <f aca="false">P56+P57-P58</f>
        <v>338634.296947862</v>
      </c>
      <c r="Q59" s="71" t="n">
        <f aca="false">Q56+Q57-Q58</f>
        <v>263796.955846844</v>
      </c>
      <c r="R59" s="71" t="n">
        <f aca="false">R56+R57-R58</f>
        <v>235559.036960382</v>
      </c>
      <c r="S59" s="71" t="n">
        <f aca="false">S56+S57-S58</f>
        <v>242996.786886921</v>
      </c>
      <c r="T59" s="71" t="n">
        <f aca="false">T56+T57-T58</f>
        <v>245563.987581925</v>
      </c>
      <c r="U59" s="71" t="n">
        <f aca="false">U56+U57-U58</f>
        <v>238728.009658503</v>
      </c>
      <c r="V59" s="71" t="n">
        <f aca="false">V56+V57-V58</f>
        <v>224149.706795447</v>
      </c>
      <c r="W59" s="71" t="n">
        <f aca="false">W56+W57-W58</f>
        <v>203662.038634012</v>
      </c>
      <c r="X59" s="71" t="n">
        <f aca="false">X56+X57-X58</f>
        <v>191211.193515005</v>
      </c>
      <c r="Y59" s="71" t="n">
        <f aca="false">Y56+Y57-Y58</f>
        <v>202631.942048982</v>
      </c>
      <c r="Z59" s="71" t="n">
        <f aca="false">Z56+Z57-Z58</f>
        <v>217859.606760952</v>
      </c>
      <c r="AA59" s="71" t="n">
        <f aca="false">AA56+AA57-AA58</f>
        <v>244508.020006899</v>
      </c>
      <c r="AB59" s="71" t="n">
        <f aca="false">AB56+AB57-AB58</f>
        <v>252121.852362884</v>
      </c>
    </row>
    <row r="60" customFormat="false" ht="15" hidden="false" customHeight="false" outlineLevel="0" collapsed="false">
      <c r="A60" s="68" t="s">
        <v>1202</v>
      </c>
      <c r="B60" s="69" t="s">
        <v>1203</v>
      </c>
      <c r="C60" s="70" t="n">
        <f aca="false">SUM(E60:P60)</f>
        <v>1745.00065828468</v>
      </c>
      <c r="D60" s="70" t="n">
        <f aca="false">SUM(Q60:AB60)</f>
        <v>0</v>
      </c>
      <c r="E60" s="74" t="n">
        <f aca="false">E59-(SUMIFS(Client_Register!$W$7:$W$28,Client_Register!$D$7:$D$28,"USD")+SUMIFS(Client_Register!$X$7:$X$28,Client_Register!$D$7:$D$28,"USD"))-E51-E52-E53+E54+E55</f>
        <v>-2921.31126393042</v>
      </c>
      <c r="F60" s="70" t="n">
        <f aca="false">F59-E59-F51-F52-F53+F54+F55</f>
        <v>1654.95652153021</v>
      </c>
      <c r="G60" s="70" t="n">
        <f aca="false">G59-F59-G51-G52-G53+G54+G55</f>
        <v>4113.03018244315</v>
      </c>
      <c r="H60" s="70" t="n">
        <f aca="false">H59-G59-H51-H52-H53+H54+H55</f>
        <v>-3076.1895246588</v>
      </c>
      <c r="I60" s="70" t="n">
        <f aca="false">I59-H59-I51-I52-I53+I54+I55</f>
        <v>1054.47341475802</v>
      </c>
      <c r="J60" s="70" t="n">
        <f aca="false">J59-I59-J51-J52-J53+J54+J55</f>
        <v>5831.53992619888</v>
      </c>
      <c r="K60" s="70" t="n">
        <f aca="false">K59-J59-K51-K52-K53+K54+K55</f>
        <v>-2271.50769385143</v>
      </c>
      <c r="L60" s="70" t="n">
        <f aca="false">L59-K59-L51-L52-L53+L54+L55</f>
        <v>-2639.99090420494</v>
      </c>
      <c r="M60" s="70" t="n">
        <f aca="false">M59-L59-M51-M52-M53+M54+M55</f>
        <v>0</v>
      </c>
      <c r="N60" s="70" t="n">
        <f aca="false">N59-M59-N51-N52-N53+N54+N55</f>
        <v>0</v>
      </c>
      <c r="O60" s="70" t="n">
        <f aca="false">O59-N59-O51-O52-O53+O54+O55</f>
        <v>0</v>
      </c>
      <c r="P60" s="70" t="n">
        <f aca="false">P59-O59-P51-P52-P53+P54+P55</f>
        <v>0</v>
      </c>
      <c r="Q60" s="70" t="n">
        <f aca="false">Q59-P59-Q51-Q52-Q53+Q54+Q55</f>
        <v>0</v>
      </c>
      <c r="R60" s="70" t="n">
        <f aca="false">R59-Q59-R51-R52-R53+R54+R55</f>
        <v>0</v>
      </c>
      <c r="S60" s="70" t="n">
        <f aca="false">S59-R59-S51-S52-S53+S54+S55</f>
        <v>0</v>
      </c>
      <c r="T60" s="70" t="n">
        <f aca="false">T59-S59-T51-T52-T53+T54+T55</f>
        <v>0</v>
      </c>
      <c r="U60" s="70" t="n">
        <f aca="false">U59-T59-U51-U52-U53+U54+U55</f>
        <v>0</v>
      </c>
      <c r="V60" s="70" t="n">
        <f aca="false">V59-U59-V51-V52-V53+V54+V55</f>
        <v>0</v>
      </c>
      <c r="W60" s="70" t="n">
        <f aca="false">W59-V59-W51-W52-W53+W54+W55</f>
        <v>0</v>
      </c>
      <c r="X60" s="70" t="n">
        <f aca="false">X59-W59-X51-X52-X53+X54+X55</f>
        <v>0</v>
      </c>
      <c r="Y60" s="70" t="n">
        <f aca="false">Y59-X59-Y51-Y52-Y53+Y54+Y55</f>
        <v>0</v>
      </c>
      <c r="Z60" s="70" t="n">
        <f aca="false">Z59-Y59-Z51-Z52-Z53+Z54+Z55</f>
        <v>0</v>
      </c>
      <c r="AA60" s="70" t="n">
        <f aca="false">AA59-Z59-AA51-AA52-AA53+AA54+AA55</f>
        <v>0</v>
      </c>
      <c r="AB60" s="70" t="n">
        <f aca="false">AB59-AA59-AB51-AB52-AB53+AB54+AB55</f>
        <v>0</v>
      </c>
    </row>
    <row r="61" customFormat="false" ht="15" hidden="false" customHeight="false" outlineLevel="0" collapsed="false">
      <c r="A61" s="22" t="s">
        <v>1206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row>
    <row r="62" customFormat="false" ht="15" hidden="false" customHeight="false" outlineLevel="0" collapsed="false">
      <c r="A62" s="28" t="s">
        <v>331</v>
      </c>
      <c r="B62" s="58" t="s">
        <v>1207</v>
      </c>
      <c r="C62" s="59" t="n">
        <f aca="false">SUM(E62:P62)</f>
        <v>2264397.52942053</v>
      </c>
      <c r="D62" s="59" t="n">
        <f aca="false">SUM(Q62:AB62)</f>
        <v>2425082.93356116</v>
      </c>
      <c r="E62" s="71" t="n">
        <f aca="false">E14+E30+E46</f>
        <v>166561.248867628</v>
      </c>
      <c r="F62" s="71" t="n">
        <f aca="false">F14+F30+F46</f>
        <v>166356.523501859</v>
      </c>
      <c r="G62" s="71" t="n">
        <f aca="false">G14+G30+G46</f>
        <v>166419.453048656</v>
      </c>
      <c r="H62" s="71" t="n">
        <f aca="false">H14+H30+H46</f>
        <v>189372.816871897</v>
      </c>
      <c r="I62" s="71" t="n">
        <f aca="false">I14+I30+I46</f>
        <v>189228.218401487</v>
      </c>
      <c r="J62" s="71" t="n">
        <f aca="false">J14+J30+J46</f>
        <v>203178.680723191</v>
      </c>
      <c r="K62" s="71" t="n">
        <f aca="false">K14+K30+K46</f>
        <v>204071.873019969</v>
      </c>
      <c r="L62" s="71" t="n">
        <f aca="false">L14+L30+L46</f>
        <v>204099.420516524</v>
      </c>
      <c r="M62" s="71" t="n">
        <f aca="false">M14+M30+M46</f>
        <v>203902.323617329</v>
      </c>
      <c r="N62" s="71" t="n">
        <f aca="false">N14+N30+N46</f>
        <v>190402.323617329</v>
      </c>
      <c r="O62" s="71" t="n">
        <f aca="false">O14+O30+O46</f>
        <v>190402.323617329</v>
      </c>
      <c r="P62" s="71" t="n">
        <f aca="false">P14+P30+P46</f>
        <v>190402.323617329</v>
      </c>
      <c r="Q62" s="71" t="n">
        <f aca="false">Q14+Q30+Q46</f>
        <v>195930.81327296</v>
      </c>
      <c r="R62" s="71" t="n">
        <f aca="false">R14+R30+R46</f>
        <v>195930.81327296</v>
      </c>
      <c r="S62" s="71" t="n">
        <f aca="false">S14+S30+S46</f>
        <v>198510.063786691</v>
      </c>
      <c r="T62" s="71" t="n">
        <f aca="false">T14+T30+T46</f>
        <v>200354.219404554</v>
      </c>
      <c r="U62" s="71" t="n">
        <f aca="false">U14+U30+U46</f>
        <v>200354.219404554</v>
      </c>
      <c r="V62" s="71" t="n">
        <f aca="false">V14+V30+V46</f>
        <v>206969.668685331</v>
      </c>
      <c r="W62" s="71" t="n">
        <f aca="false">W14+W30+W46</f>
        <v>205017.522622351</v>
      </c>
      <c r="X62" s="71" t="n">
        <f aca="false">X14+X30+X46</f>
        <v>205017.522622351</v>
      </c>
      <c r="Y62" s="71" t="n">
        <f aca="false">Y14+Y30+Y46</f>
        <v>205017.522622351</v>
      </c>
      <c r="Z62" s="71" t="n">
        <f aca="false">Z14+Z30+Z46</f>
        <v>203993.522622351</v>
      </c>
      <c r="AA62" s="71" t="n">
        <f aca="false">AA14+AA30+AA46</f>
        <v>203993.522622351</v>
      </c>
      <c r="AB62" s="71" t="n">
        <f aca="false">AB14+AB30+AB46</f>
        <v>203993.522622351</v>
      </c>
    </row>
    <row r="63" customFormat="false" ht="15" hidden="false" customHeight="false" outlineLevel="0" collapsed="false">
      <c r="A63" s="28" t="s">
        <v>700</v>
      </c>
      <c r="B63" s="58" t="s">
        <v>1207</v>
      </c>
      <c r="C63" s="59" t="n">
        <f aca="false">SUM(E63:P63)</f>
        <v>926786.479342986</v>
      </c>
      <c r="D63" s="59" t="n">
        <f aca="false">SUM(Q63:AB63)</f>
        <v>953538.120482793</v>
      </c>
      <c r="E63" s="71" t="n">
        <f aca="false">E15+E31+E47</f>
        <v>65395.6810282954</v>
      </c>
      <c r="F63" s="71" t="n">
        <f aca="false">F15+F31+F47</f>
        <v>48189.0689359823</v>
      </c>
      <c r="G63" s="71" t="n">
        <f aca="false">G15+G31+G47</f>
        <v>52798.0914178011</v>
      </c>
      <c r="H63" s="71" t="n">
        <f aca="false">H15+H31+H47</f>
        <v>55499.693047527</v>
      </c>
      <c r="I63" s="71" t="n">
        <f aca="false">I15+I31+I47</f>
        <v>72634.8355769181</v>
      </c>
      <c r="J63" s="71" t="n">
        <f aca="false">J15+J31+J47</f>
        <v>92439.7807570272</v>
      </c>
      <c r="K63" s="71" t="n">
        <f aca="false">K15+K31+K47</f>
        <v>102218.25228808</v>
      </c>
      <c r="L63" s="71" t="n">
        <f aca="false">L15+L31+L47</f>
        <v>110529.650012757</v>
      </c>
      <c r="M63" s="71" t="n">
        <f aca="false">M15+M31+M47</f>
        <v>112632.340644591</v>
      </c>
      <c r="N63" s="71" t="n">
        <f aca="false">N15+N31+N47</f>
        <v>95895.3276070448</v>
      </c>
      <c r="O63" s="71" t="n">
        <f aca="false">O15+O31+O47</f>
        <v>72764.8417499574</v>
      </c>
      <c r="P63" s="71" t="n">
        <f aca="false">P15+P31+P47</f>
        <v>45788.9162770048</v>
      </c>
      <c r="Q63" s="71" t="n">
        <f aca="false">Q15+Q31+Q47</f>
        <v>45480.786787909</v>
      </c>
      <c r="R63" s="71" t="n">
        <f aca="false">R15+R31+R47</f>
        <v>73409.4199568794</v>
      </c>
      <c r="S63" s="71" t="n">
        <f aca="false">S15+S31+S47</f>
        <v>92024.0322904626</v>
      </c>
      <c r="T63" s="71" t="n">
        <f aca="false">T15+T31+T47</f>
        <v>105942.431395032</v>
      </c>
      <c r="U63" s="71" t="n">
        <f aca="false">U15+U31+U47</f>
        <v>104931.701220352</v>
      </c>
      <c r="V63" s="71" t="n">
        <f aca="false">V15+V31+V47</f>
        <v>91547.0012722563</v>
      </c>
      <c r="W63" s="71" t="n">
        <f aca="false">W15+W31+W47</f>
        <v>94950.0125390796</v>
      </c>
      <c r="X63" s="71" t="n">
        <f aca="false">X15+X31+X47</f>
        <v>80868.7350208222</v>
      </c>
      <c r="Y63" s="71" t="n">
        <f aca="false">Y15+Y31+Y47</f>
        <v>60384</v>
      </c>
      <c r="Z63" s="71" t="n">
        <f aca="false">Z15+Z31+Z47</f>
        <v>71808</v>
      </c>
      <c r="AA63" s="71" t="n">
        <f aca="false">AA15+AA31+AA47</f>
        <v>71808</v>
      </c>
      <c r="AB63" s="71" t="n">
        <f aca="false">AB15+AB31+AB47</f>
        <v>60384</v>
      </c>
    </row>
    <row r="64" customFormat="false" ht="15" hidden="false" customHeight="false" outlineLevel="0" collapsed="false">
      <c r="A64" s="28" t="s">
        <v>333</v>
      </c>
      <c r="B64" s="58" t="s">
        <v>1207</v>
      </c>
      <c r="C64" s="59" t="n">
        <f aca="false">SUM(E64:P64)</f>
        <v>460502.243749224</v>
      </c>
      <c r="D64" s="59" t="n">
        <f aca="false">SUM(Q64:AB64)</f>
        <v>552186.947030337</v>
      </c>
      <c r="E64" s="71" t="n">
        <f aca="false">E16+E32+E48</f>
        <v>33303.6009937888</v>
      </c>
      <c r="F64" s="71" t="n">
        <f aca="false">F16+F32+F48</f>
        <v>29595.2242180775</v>
      </c>
      <c r="G64" s="71" t="n">
        <f aca="false">G16+G32+G48</f>
        <v>40155.6619710883</v>
      </c>
      <c r="H64" s="71" t="n">
        <f aca="false">H16+H32+H48</f>
        <v>36895.952516344</v>
      </c>
      <c r="I64" s="71" t="n">
        <f aca="false">I16+I32+I48</f>
        <v>37446.0124364862</v>
      </c>
      <c r="J64" s="71" t="n">
        <f aca="false">J16+J32+J48</f>
        <v>38717.0875130133</v>
      </c>
      <c r="K64" s="71" t="n">
        <f aca="false">K16+K32+K48</f>
        <v>29519.8270160116</v>
      </c>
      <c r="L64" s="71" t="n">
        <f aca="false">L16+L32+L48</f>
        <v>38965.4465714686</v>
      </c>
      <c r="M64" s="71" t="n">
        <f aca="false">M16+M32+M48</f>
        <v>42096.9537938565</v>
      </c>
      <c r="N64" s="71" t="n">
        <f aca="false">N16+N32+N48</f>
        <v>50101.0552098872</v>
      </c>
      <c r="O64" s="71" t="n">
        <f aca="false">O16+O32+O48</f>
        <v>46435.1243408711</v>
      </c>
      <c r="P64" s="71" t="n">
        <f aca="false">P16+P32+P48</f>
        <v>37270.2971683307</v>
      </c>
      <c r="Q64" s="71" t="n">
        <f aca="false">Q16+Q32+Q48</f>
        <v>48292.5293145059</v>
      </c>
      <c r="R64" s="71" t="n">
        <f aca="false">R16+R32+R48</f>
        <v>46386.2452626175</v>
      </c>
      <c r="S64" s="71" t="n">
        <f aca="false">S16+S32+S48</f>
        <v>50198.8133663943</v>
      </c>
      <c r="T64" s="71" t="n">
        <f aca="false">T16+T32+T48</f>
        <v>47657.1012972098</v>
      </c>
      <c r="U64" s="71" t="n">
        <f aca="false">U16+U32+U48</f>
        <v>47657.1012972098</v>
      </c>
      <c r="V64" s="71" t="n">
        <f aca="false">V16+V32+V48</f>
        <v>43844.533193433</v>
      </c>
      <c r="W64" s="71" t="n">
        <f aca="false">W16+W32+W48</f>
        <v>35583.9689685833</v>
      </c>
      <c r="X64" s="71" t="n">
        <f aca="false">X16+X32+X48</f>
        <v>43209.1051761369</v>
      </c>
      <c r="Y64" s="71" t="n">
        <f aca="false">Y16+Y32+Y48</f>
        <v>50198.8133663943</v>
      </c>
      <c r="Z64" s="71" t="n">
        <f aca="false">Z16+Z32+Z48</f>
        <v>52105.0974182827</v>
      </c>
      <c r="AA64" s="71" t="n">
        <f aca="false">AA16+AA32+AA48</f>
        <v>48292.5293145059</v>
      </c>
      <c r="AB64" s="71" t="n">
        <f aca="false">AB16+AB32+AB48</f>
        <v>38761.109055064</v>
      </c>
    </row>
    <row r="65" customFormat="false" ht="15" hidden="false" customHeight="false" outlineLevel="0" collapsed="false">
      <c r="A65" s="28" t="s">
        <v>334</v>
      </c>
      <c r="B65" s="58" t="s">
        <v>1207</v>
      </c>
      <c r="C65" s="59" t="n">
        <f aca="false">SUM(E65:P65)</f>
        <v>280289.668687739</v>
      </c>
      <c r="D65" s="59" t="n">
        <f aca="false">SUM(Q65:AB65)</f>
        <v>258407.866667242</v>
      </c>
      <c r="E65" s="71" t="n">
        <f aca="false">E17+E33+E49</f>
        <v>19530.4067272156</v>
      </c>
      <c r="F65" s="71" t="n">
        <f aca="false">F17+F33+F49</f>
        <v>19335.026841061</v>
      </c>
      <c r="G65" s="71" t="n">
        <f aca="false">G17+G33+G49</f>
        <v>21595.50157138</v>
      </c>
      <c r="H65" s="71" t="n">
        <f aca="false">H17+H33+H49</f>
        <v>23771.4365009715</v>
      </c>
      <c r="I65" s="71" t="n">
        <f aca="false">I17+I33+I49</f>
        <v>23099.434037206</v>
      </c>
      <c r="J65" s="71" t="n">
        <f aca="false">J17+J33+J49</f>
        <v>22018.8784102158</v>
      </c>
      <c r="K65" s="71" t="n">
        <f aca="false">K17+K33+K49</f>
        <v>21094.5727899577</v>
      </c>
      <c r="L65" s="71" t="n">
        <f aca="false">L17+L33+L49</f>
        <v>22676.7916777673</v>
      </c>
      <c r="M65" s="71" t="n">
        <f aca="false">M17+M33+M49</f>
        <v>23046.8000283793</v>
      </c>
      <c r="N65" s="71" t="n">
        <f aca="false">N17+N33+N49</f>
        <v>25351.4800312172</v>
      </c>
      <c r="O65" s="71" t="n">
        <f aca="false">O17+O33+O49</f>
        <v>31113.1800383121</v>
      </c>
      <c r="P65" s="71" t="n">
        <f aca="false">P17+P33+P49</f>
        <v>27656.1600340552</v>
      </c>
      <c r="Q65" s="71" t="n">
        <f aca="false">Q17+Q33+Q49</f>
        <v>19477.5800241224</v>
      </c>
      <c r="R65" s="71" t="n">
        <f aca="false">R17+R33+R49</f>
        <v>19477.5800241224</v>
      </c>
      <c r="S65" s="71" t="n">
        <f aca="false">S17+S33+S49</f>
        <v>21341.5600269603</v>
      </c>
      <c r="T65" s="71" t="n">
        <f aca="false">T17+T33+T49</f>
        <v>21822.6367554482</v>
      </c>
      <c r="U65" s="71" t="n">
        <f aca="false">U17+U33+U49</f>
        <v>21822.6367554482</v>
      </c>
      <c r="V65" s="71" t="n">
        <f aca="false">V17+V33+V49</f>
        <v>20731.5049176758</v>
      </c>
      <c r="W65" s="71" t="n">
        <f aca="false">W17+W33+W49</f>
        <v>17955.5020217102</v>
      </c>
      <c r="X65" s="71" t="n">
        <f aca="false">X17+X33+X49</f>
        <v>19011.7080229872</v>
      </c>
      <c r="Y65" s="71" t="n">
        <f aca="false">Y17+Y33+Y49</f>
        <v>21124.1200255414</v>
      </c>
      <c r="Z65" s="71" t="n">
        <f aca="false">Z17+Z33+Z49</f>
        <v>22796.5320280955</v>
      </c>
      <c r="AA65" s="71" t="n">
        <f aca="false">AA17+AA33+AA49</f>
        <v>27977.5620344809</v>
      </c>
      <c r="AB65" s="71" t="n">
        <f aca="false">AB17+AB33+AB49</f>
        <v>24868.9440306497</v>
      </c>
    </row>
    <row r="66" customFormat="false" ht="15" hidden="false" customHeight="false" outlineLevel="0" collapsed="false">
      <c r="A66" s="28" t="s">
        <v>1195</v>
      </c>
      <c r="B66" s="58" t="s">
        <v>1207</v>
      </c>
      <c r="C66" s="59" t="n">
        <f aca="false">SUM(E66:P66)</f>
        <v>49700</v>
      </c>
      <c r="D66" s="59" t="n">
        <f aca="false">SUM(Q66:AB66)</f>
        <v>0</v>
      </c>
      <c r="E66" s="71" t="n">
        <f aca="false">E18+E34+E50</f>
        <v>0</v>
      </c>
      <c r="F66" s="71" t="n">
        <f aca="false">F18+F34+F50</f>
        <v>0</v>
      </c>
      <c r="G66" s="71" t="n">
        <f aca="false">G18+G34+G50</f>
        <v>0</v>
      </c>
      <c r="H66" s="71" t="n">
        <f aca="false">H18+H34+H50</f>
        <v>0</v>
      </c>
      <c r="I66" s="71" t="n">
        <f aca="false">I18+I34+I50</f>
        <v>0</v>
      </c>
      <c r="J66" s="71" t="n">
        <f aca="false">J18+J34+J50</f>
        <v>0</v>
      </c>
      <c r="K66" s="71" t="n">
        <f aca="false">K18+K34+K50</f>
        <v>4830</v>
      </c>
      <c r="L66" s="71" t="n">
        <f aca="false">L18+L34+L50</f>
        <v>6440</v>
      </c>
      <c r="M66" s="71" t="n">
        <f aca="false">M18+M34+M50</f>
        <v>7575.55555555556</v>
      </c>
      <c r="N66" s="71" t="n">
        <f aca="false">N18+N34+N50</f>
        <v>13338.8888888889</v>
      </c>
      <c r="O66" s="71" t="n">
        <f aca="false">O18+O34+O50</f>
        <v>12265.5555555556</v>
      </c>
      <c r="P66" s="71" t="n">
        <f aca="false">P18+P34+P50</f>
        <v>5250</v>
      </c>
      <c r="Q66" s="71" t="n">
        <f aca="false">Q18+Q34+Q50</f>
        <v>0</v>
      </c>
      <c r="R66" s="71" t="n">
        <f aca="false">R18+R34+R50</f>
        <v>0</v>
      </c>
      <c r="S66" s="71" t="n">
        <f aca="false">S18+S34+S50</f>
        <v>0</v>
      </c>
      <c r="T66" s="71" t="n">
        <f aca="false">T18+T34+T50</f>
        <v>0</v>
      </c>
      <c r="U66" s="71" t="n">
        <f aca="false">U18+U34+U50</f>
        <v>0</v>
      </c>
      <c r="V66" s="71" t="n">
        <f aca="false">V18+V34+V50</f>
        <v>0</v>
      </c>
      <c r="W66" s="71" t="n">
        <f aca="false">W18+W34+W50</f>
        <v>0</v>
      </c>
      <c r="X66" s="71" t="n">
        <f aca="false">X18+X34+X50</f>
        <v>0</v>
      </c>
      <c r="Y66" s="71" t="n">
        <f aca="false">Y18+Y34+Y50</f>
        <v>0</v>
      </c>
      <c r="Z66" s="71" t="n">
        <f aca="false">Z18+Z34+Z50</f>
        <v>0</v>
      </c>
      <c r="AA66" s="71" t="n">
        <f aca="false">AA18+AA34+AA50</f>
        <v>0</v>
      </c>
      <c r="AB66" s="71" t="n">
        <f aca="false">AB18+AB34+AB50</f>
        <v>0</v>
      </c>
    </row>
    <row r="67" customFormat="false" ht="15" hidden="false" customHeight="false" outlineLevel="0" collapsed="false">
      <c r="A67" s="68" t="s">
        <v>336</v>
      </c>
      <c r="B67" s="69" t="s">
        <v>1207</v>
      </c>
      <c r="C67" s="70" t="n">
        <f aca="false">SUM(E67:P67)</f>
        <v>3981675.92120047</v>
      </c>
      <c r="D67" s="70" t="n">
        <f aca="false">SUM(Q67:AB67)</f>
        <v>4189215.86774153</v>
      </c>
      <c r="E67" s="70" t="n">
        <f aca="false">E19+E35+E51</f>
        <v>284790.937616928</v>
      </c>
      <c r="F67" s="70" t="n">
        <f aca="false">F19+F35+F51</f>
        <v>263475.84349698</v>
      </c>
      <c r="G67" s="70" t="n">
        <f aca="false">G19+G35+G51</f>
        <v>280968.708008925</v>
      </c>
      <c r="H67" s="70" t="n">
        <f aca="false">H19+H35+H51</f>
        <v>305539.89893674</v>
      </c>
      <c r="I67" s="70" t="n">
        <f aca="false">I19+I35+I51</f>
        <v>322408.500452097</v>
      </c>
      <c r="J67" s="70" t="n">
        <f aca="false">J19+J35+J51</f>
        <v>356354.427403447</v>
      </c>
      <c r="K67" s="70" t="n">
        <f aca="false">K19+K35+K51</f>
        <v>361734.525114018</v>
      </c>
      <c r="L67" s="70" t="n">
        <f aca="false">L19+L35+L51</f>
        <v>382711.308778516</v>
      </c>
      <c r="M67" s="70" t="n">
        <f aca="false">M19+M35+M51</f>
        <v>389253.973639711</v>
      </c>
      <c r="N67" s="70" t="n">
        <f aca="false">N19+N35+N51</f>
        <v>375089.075354367</v>
      </c>
      <c r="O67" s="70" t="n">
        <f aca="false">O19+O35+O51</f>
        <v>352981.025302025</v>
      </c>
      <c r="P67" s="70" t="n">
        <f aca="false">P19+P35+P51</f>
        <v>306367.697096719</v>
      </c>
      <c r="Q67" s="70" t="n">
        <f aca="false">Q19+Q35+Q51</f>
        <v>309181.709399497</v>
      </c>
      <c r="R67" s="70" t="n">
        <f aca="false">R19+R35+R51</f>
        <v>335204.058516579</v>
      </c>
      <c r="S67" s="70" t="n">
        <f aca="false">S19+S35+S51</f>
        <v>362074.469470508</v>
      </c>
      <c r="T67" s="70" t="n">
        <f aca="false">T19+T35+T51</f>
        <v>375776.388852244</v>
      </c>
      <c r="U67" s="70" t="n">
        <f aca="false">U19+U35+U51</f>
        <v>374765.658677564</v>
      </c>
      <c r="V67" s="70" t="n">
        <f aca="false">V19+V35+V51</f>
        <v>363092.708068696</v>
      </c>
      <c r="W67" s="70" t="n">
        <f aca="false">W19+W35+W51</f>
        <v>353507.006151725</v>
      </c>
      <c r="X67" s="70" t="n">
        <f aca="false">X19+X35+X51</f>
        <v>348107.070842298</v>
      </c>
      <c r="Y67" s="70" t="n">
        <f aca="false">Y19+Y35+Y51</f>
        <v>336724.456014287</v>
      </c>
      <c r="Z67" s="70" t="n">
        <f aca="false">Z19+Z35+Z51</f>
        <v>350703.15206873</v>
      </c>
      <c r="AA67" s="70" t="n">
        <f aca="false">AA19+AA35+AA51</f>
        <v>352071.613971338</v>
      </c>
      <c r="AB67" s="70" t="n">
        <f aca="false">AB19+AB35+AB51</f>
        <v>328007.575708065</v>
      </c>
    </row>
    <row r="68" customFormat="false" ht="15" hidden="false" customHeight="false" outlineLevel="0" collapsed="false">
      <c r="A68" s="28" t="s">
        <v>1196</v>
      </c>
      <c r="B68" s="58" t="s">
        <v>1207</v>
      </c>
      <c r="C68" s="59" t="n">
        <f aca="false">SUM(E68:P68)</f>
        <v>2843386.04554491</v>
      </c>
      <c r="D68" s="59" t="n">
        <f aca="false">SUM(Q68:AB68)</f>
        <v>2622087.00058067</v>
      </c>
      <c r="E68" s="71" t="n">
        <f aca="false">E20+E36+E52</f>
        <v>197458.804184592</v>
      </c>
      <c r="F68" s="71" t="n">
        <f aca="false">F20+F36+F52</f>
        <v>195290.574677948</v>
      </c>
      <c r="G68" s="71" t="n">
        <f aca="false">G20+G36+G52</f>
        <v>219059.502541731</v>
      </c>
      <c r="H68" s="71" t="n">
        <f aca="false">H20+H36+H52</f>
        <v>241000.88979419</v>
      </c>
      <c r="I68" s="71" t="n">
        <f aca="false">I20+I36+I52</f>
        <v>234907.794493685</v>
      </c>
      <c r="J68" s="71" t="n">
        <f aca="false">J20+J36+J52</f>
        <v>223392.85069</v>
      </c>
      <c r="K68" s="71" t="n">
        <f aca="false">K20+K36+K52</f>
        <v>214762.265464155</v>
      </c>
      <c r="L68" s="71" t="n">
        <f aca="false">L20+L36+L52</f>
        <v>230207.131333784</v>
      </c>
      <c r="M68" s="71" t="n">
        <f aca="false">M20+M36+M52</f>
        <v>233829.297282758</v>
      </c>
      <c r="N68" s="71" t="n">
        <f aca="false">N20+N36+N52</f>
        <v>257212.227011034</v>
      </c>
      <c r="O68" s="71" t="n">
        <f aca="false">O20+O36+O52</f>
        <v>315669.551331724</v>
      </c>
      <c r="P68" s="71" t="n">
        <f aca="false">P20+P36+P52</f>
        <v>280595.15673931</v>
      </c>
      <c r="Q68" s="71" t="n">
        <f aca="false">Q20+Q36+Q52</f>
        <v>197819.902690345</v>
      </c>
      <c r="R68" s="71" t="n">
        <f aca="false">R20+R36+R52</f>
        <v>197819.902690345</v>
      </c>
      <c r="S68" s="71" t="n">
        <f aca="false">S20+S36+S52</f>
        <v>216817.83241862</v>
      </c>
      <c r="T68" s="71" t="n">
        <f aca="false">T20+T36+T52</f>
        <v>221807.664553448</v>
      </c>
      <c r="U68" s="71" t="n">
        <f aca="false">U20+U36+U52</f>
        <v>221807.664553448</v>
      </c>
      <c r="V68" s="71" t="n">
        <f aca="false">V20+V36+V52</f>
        <v>210717.281325775</v>
      </c>
      <c r="W68" s="71" t="n">
        <f aca="false">W20+W36+W52</f>
        <v>181939.41242131</v>
      </c>
      <c r="X68" s="71" t="n">
        <f aca="false">X20+X36+X52</f>
        <v>192641.730799034</v>
      </c>
      <c r="Y68" s="71" t="n">
        <f aca="false">Y20+Y36+Y52</f>
        <v>214046.367554482</v>
      </c>
      <c r="Z68" s="71" t="n">
        <f aca="false">Z20+Z36+Z52</f>
        <v>231051.004309931</v>
      </c>
      <c r="AA68" s="71" t="n">
        <f aca="false">AA20+AA36+AA52</f>
        <v>283562.596198551</v>
      </c>
      <c r="AB68" s="71" t="n">
        <f aca="false">AB20+AB36+AB52</f>
        <v>252055.641065379</v>
      </c>
    </row>
    <row r="69" customFormat="false" ht="15" hidden="false" customHeight="false" outlineLevel="0" collapsed="false">
      <c r="A69" s="28" t="s">
        <v>714</v>
      </c>
      <c r="B69" s="58" t="s">
        <v>1207</v>
      </c>
      <c r="C69" s="59" t="n">
        <f aca="false">SUM(E69:P69)</f>
        <v>124523.763801429</v>
      </c>
      <c r="D69" s="59" t="n">
        <f aca="false">SUM(Q69:AB69)</f>
        <v>121665.353651714</v>
      </c>
      <c r="E69" s="71" t="n">
        <f aca="false">E21+E37+E53</f>
        <v>8835.1488</v>
      </c>
      <c r="F69" s="71" t="n">
        <f aca="false">F21+F37+F53</f>
        <v>9713.3856</v>
      </c>
      <c r="G69" s="71" t="n">
        <f aca="false">G21+G37+G53</f>
        <v>9675.684</v>
      </c>
      <c r="H69" s="71" t="n">
        <f aca="false">H21+H37+H53</f>
        <v>10337.0184</v>
      </c>
      <c r="I69" s="71" t="n">
        <f aca="false">I21+I37+I53</f>
        <v>10422.648</v>
      </c>
      <c r="J69" s="71" t="n">
        <f aca="false">J21+J37+J53</f>
        <v>10137.9048</v>
      </c>
      <c r="K69" s="71" t="n">
        <f aca="false">K21+K37+K53</f>
        <v>9982.6968</v>
      </c>
      <c r="L69" s="71" t="n">
        <f aca="false">L21+L37+L53</f>
        <v>9894.0264</v>
      </c>
      <c r="M69" s="71" t="n">
        <f aca="false">M21+M37+M53</f>
        <v>9929.4336</v>
      </c>
      <c r="N69" s="71" t="n">
        <f aca="false">N21+N37+N53</f>
        <v>11175.3524671431</v>
      </c>
      <c r="O69" s="71" t="n">
        <f aca="false">O21+O37+O53</f>
        <v>12749.0838266548</v>
      </c>
      <c r="P69" s="71" t="n">
        <f aca="false">P21+P37+P53</f>
        <v>11671.3811076313</v>
      </c>
      <c r="Q69" s="71" t="n">
        <f aca="false">Q21+Q37+Q53</f>
        <v>8847.71631007248</v>
      </c>
      <c r="R69" s="71" t="n">
        <f aca="false">R21+R37+R53</f>
        <v>9420.97555193654</v>
      </c>
      <c r="S69" s="71" t="n">
        <f aca="false">S21+S37+S53</f>
        <v>9883.62293804431</v>
      </c>
      <c r="T69" s="71" t="n">
        <f aca="false">T21+T37+T53</f>
        <v>10362.8081658288</v>
      </c>
      <c r="U69" s="71" t="n">
        <f aca="false">U21+U37+U53</f>
        <v>10230.6153473058</v>
      </c>
      <c r="V69" s="71" t="n">
        <f aca="false">V21+V37+V53</f>
        <v>9949.7193473058</v>
      </c>
      <c r="W69" s="71" t="n">
        <f aca="false">W21+W37+W53</f>
        <v>9189.63811952133</v>
      </c>
      <c r="X69" s="71" t="n">
        <f aca="false">X21+X37+X53</f>
        <v>9040.90745932166</v>
      </c>
      <c r="Y69" s="71" t="n">
        <f aca="false">Y21+Y37+Y53</f>
        <v>9999.27791489059</v>
      </c>
      <c r="Z69" s="71" t="n">
        <f aca="false">Z21+Z37+Z53</f>
        <v>10924.6001658288</v>
      </c>
      <c r="AA69" s="71" t="n">
        <f aca="false">AA21+AA37+AA53</f>
        <v>12428.224779721</v>
      </c>
      <c r="AB69" s="71" t="n">
        <f aca="false">AB21+AB37+AB53</f>
        <v>11387.2475519365</v>
      </c>
    </row>
    <row r="70" customFormat="false" ht="15" hidden="false" customHeight="false" outlineLevel="0" collapsed="false">
      <c r="A70" s="28" t="s">
        <v>717</v>
      </c>
      <c r="B70" s="58" t="s">
        <v>1207</v>
      </c>
      <c r="C70" s="59" t="n">
        <f aca="false">SUM(E70:P70)</f>
        <v>6808361.52508717</v>
      </c>
      <c r="D70" s="59" t="n">
        <f aca="false">SUM(Q70:AB70)</f>
        <v>6979783.22496848</v>
      </c>
      <c r="E70" s="71" t="n">
        <f aca="false">E22+E38+E54</f>
        <v>450108.264452003</v>
      </c>
      <c r="F70" s="71" t="n">
        <f aca="false">F22+F38+F54</f>
        <v>643490.284309204</v>
      </c>
      <c r="G70" s="71" t="n">
        <f aca="false">G22+G38+G54</f>
        <v>442682.576072703</v>
      </c>
      <c r="H70" s="71" t="n">
        <f aca="false">H22+H38+H54</f>
        <v>496148.687372048</v>
      </c>
      <c r="I70" s="71" t="n">
        <f aca="false">I22+I38+I54</f>
        <v>597758.216082009</v>
      </c>
      <c r="J70" s="71" t="n">
        <f aca="false">J22+J38+J54</f>
        <v>484125.690290456</v>
      </c>
      <c r="K70" s="71" t="n">
        <f aca="false">K22+K38+K54</f>
        <v>618579.131574496</v>
      </c>
      <c r="L70" s="71" t="n">
        <f aca="false">L22+L38+L54</f>
        <v>602097.443670763</v>
      </c>
      <c r="M70" s="71" t="n">
        <f aca="false">M22+M38+M54</f>
        <v>500620.436935444</v>
      </c>
      <c r="N70" s="71" t="n">
        <f aca="false">N22+N38+N54</f>
        <v>607104.92365077</v>
      </c>
      <c r="O70" s="71" t="n">
        <f aca="false">O22+O38+O54</f>
        <v>706439.09864144</v>
      </c>
      <c r="P70" s="71" t="n">
        <f aca="false">P22+P38+P54</f>
        <v>659206.772035834</v>
      </c>
      <c r="Q70" s="71" t="n">
        <f aca="false">Q22+Q38+Q54</f>
        <v>609034.765102994</v>
      </c>
      <c r="R70" s="71" t="n">
        <f aca="false">R22+R38+R54</f>
        <v>649921.987078143</v>
      </c>
      <c r="S70" s="71" t="n">
        <f aca="false">S22+S38+S54</f>
        <v>466840.580242156</v>
      </c>
      <c r="T70" s="71" t="n">
        <f aca="false">T22+T38+T54</f>
        <v>575587.300171347</v>
      </c>
      <c r="U70" s="71" t="n">
        <f aca="false">U22+U38+U54</f>
        <v>636248.83078148</v>
      </c>
      <c r="V70" s="71" t="n">
        <f aca="false">V22+V38+V54</f>
        <v>563265.25321629</v>
      </c>
      <c r="W70" s="71" t="n">
        <f aca="false">W22+W38+W54</f>
        <v>581303.800771214</v>
      </c>
      <c r="X70" s="71" t="n">
        <f aca="false">X22+X38+X54</f>
        <v>601114.813619338</v>
      </c>
      <c r="Y70" s="71" t="n">
        <f aca="false">Y22+Y38+Y54</f>
        <v>518820.744342271</v>
      </c>
      <c r="Z70" s="71" t="n">
        <f aca="false">Z22+Z38+Z54</f>
        <v>552195.058962002</v>
      </c>
      <c r="AA70" s="71" t="n">
        <f aca="false">AA22+AA38+AA54</f>
        <v>637695.406228409</v>
      </c>
      <c r="AB70" s="71" t="n">
        <f aca="false">AB22+AB38+AB54</f>
        <v>587754.68445284</v>
      </c>
    </row>
    <row r="71" customFormat="false" ht="15" hidden="false" customHeight="false" outlineLevel="0" collapsed="false">
      <c r="A71" s="28" t="s">
        <v>1197</v>
      </c>
      <c r="B71" s="58" t="s">
        <v>1207</v>
      </c>
      <c r="C71" s="59" t="n">
        <f aca="false">SUM(E71:P71)</f>
        <v>7114.5222490514</v>
      </c>
      <c r="D71" s="59" t="n">
        <f aca="false">SUM(Q71:AB71)</f>
        <v>0</v>
      </c>
      <c r="E71" s="71" t="n">
        <f aca="false">E23+E39+E55</f>
        <v>0</v>
      </c>
      <c r="F71" s="71" t="n">
        <f aca="false">F23+F39+F55</f>
        <v>0</v>
      </c>
      <c r="G71" s="71" t="n">
        <f aca="false">G23+G39+G55</f>
        <v>0</v>
      </c>
      <c r="H71" s="71" t="n">
        <f aca="false">H23+H39+H55</f>
        <v>0</v>
      </c>
      <c r="I71" s="71" t="n">
        <f aca="false">I23+I39+I55</f>
        <v>0</v>
      </c>
      <c r="J71" s="71" t="n">
        <f aca="false">J23+J39+J55</f>
        <v>0</v>
      </c>
      <c r="K71" s="71" t="n">
        <f aca="false">K23+K39+K55</f>
        <v>0</v>
      </c>
      <c r="L71" s="71" t="n">
        <f aca="false">L23+L39+L55</f>
        <v>0</v>
      </c>
      <c r="M71" s="71" t="n">
        <f aca="false">M23+M39+M55</f>
        <v>0</v>
      </c>
      <c r="N71" s="71" t="n">
        <f aca="false">N23+N39+N55</f>
        <v>0</v>
      </c>
      <c r="O71" s="71" t="n">
        <f aca="false">O23+O39+O55</f>
        <v>7114.5222490514</v>
      </c>
      <c r="P71" s="71" t="n">
        <f aca="false">P23+P39+P55</f>
        <v>0</v>
      </c>
      <c r="Q71" s="71" t="n">
        <f aca="false">Q23+Q39+Q55</f>
        <v>0</v>
      </c>
      <c r="R71" s="71" t="n">
        <f aca="false">R23+R39+R55</f>
        <v>0</v>
      </c>
      <c r="S71" s="71" t="n">
        <f aca="false">S23+S39+S55</f>
        <v>0</v>
      </c>
      <c r="T71" s="71" t="n">
        <f aca="false">T23+T39+T55</f>
        <v>0</v>
      </c>
      <c r="U71" s="71" t="n">
        <f aca="false">U23+U39+U55</f>
        <v>0</v>
      </c>
      <c r="V71" s="71" t="n">
        <f aca="false">V23+V39+V55</f>
        <v>0</v>
      </c>
      <c r="W71" s="71" t="n">
        <f aca="false">W23+W39+W55</f>
        <v>0</v>
      </c>
      <c r="X71" s="71" t="n">
        <f aca="false">X23+X39+X55</f>
        <v>0</v>
      </c>
      <c r="Y71" s="71" t="n">
        <f aca="false">Y23+Y39+Y55</f>
        <v>0</v>
      </c>
      <c r="Z71" s="71" t="n">
        <f aca="false">Z23+Z39+Z55</f>
        <v>0</v>
      </c>
      <c r="AA71" s="71" t="n">
        <f aca="false">AA23+AA39+AA55</f>
        <v>0</v>
      </c>
      <c r="AB71" s="71" t="n">
        <f aca="false">AB23+AB39+AB55</f>
        <v>0</v>
      </c>
    </row>
    <row r="72" customFormat="false" ht="15" hidden="false" customHeight="false" outlineLevel="0" collapsed="false">
      <c r="A72" s="28" t="s">
        <v>63</v>
      </c>
      <c r="B72" s="58" t="s">
        <v>1207</v>
      </c>
      <c r="C72" s="59" t="n">
        <f aca="false">P72</f>
        <v>746044.201855481</v>
      </c>
      <c r="D72" s="59" t="n">
        <f aca="false">AB72</f>
        <v>712579.461517762</v>
      </c>
      <c r="E72" s="71" t="n">
        <f aca="false">E24+E40+E56</f>
        <v>698829.936501559</v>
      </c>
      <c r="F72" s="71" t="n">
        <f aca="false">F24+F40+F56</f>
        <v>520386.602036567</v>
      </c>
      <c r="G72" s="71" t="n">
        <f aca="false">G24+G40+G56</f>
        <v>580461.475679056</v>
      </c>
      <c r="H72" s="71" t="n">
        <f aca="false">H24+H40+H56</f>
        <v>694432.631999395</v>
      </c>
      <c r="I72" s="71" t="n">
        <f aca="false">I24+I40+I56</f>
        <v>601638.54274672</v>
      </c>
      <c r="J72" s="71" t="n">
        <f aca="false">J24+J40+J56</f>
        <v>732784.455194138</v>
      </c>
      <c r="K72" s="71" t="n">
        <f aca="false">K24+K40+K56</f>
        <v>703983.311471203</v>
      </c>
      <c r="L72" s="71" t="n">
        <f aca="false">L24+L40+L56</f>
        <v>607049.151254837</v>
      </c>
      <c r="M72" s="71" t="n">
        <f aca="false">M24+M40+M56</f>
        <v>747799.847338345</v>
      </c>
      <c r="N72" s="71" t="n">
        <f aca="false">N24+N40+N56</f>
        <v>849397.029453653</v>
      </c>
      <c r="O72" s="71" t="n">
        <f aca="false">O24+O40+O56</f>
        <v>826109.183863469</v>
      </c>
      <c r="P72" s="71" t="n">
        <f aca="false">P24+P40+P56</f>
        <v>746044.201855481</v>
      </c>
      <c r="Q72" s="71" t="n">
        <f aca="false">Q24+Q40+Q56</f>
        <v>739282.833832739</v>
      </c>
      <c r="R72" s="71" t="n">
        <f aca="false">R24+R40+R56</f>
        <v>588010.830574087</v>
      </c>
      <c r="S72" s="71" t="n">
        <f aca="false">S24+S40+S56</f>
        <v>673746.030957654</v>
      </c>
      <c r="T72" s="71" t="n">
        <f aca="false">T24+T40+T56</f>
        <v>749387.019036319</v>
      </c>
      <c r="U72" s="71" t="n">
        <f aca="false">U24+U40+U56</f>
        <v>688652.420755715</v>
      </c>
      <c r="V72" s="71" t="n">
        <f aca="false">V24+V40+V56</f>
        <v>686019.766109174</v>
      </c>
      <c r="W72" s="71" t="n">
        <f aca="false">W24+W40+W56</f>
        <v>688647.927723385</v>
      </c>
      <c r="X72" s="71" t="n">
        <f aca="false">X24+X40+X56</f>
        <v>622812.27908262</v>
      </c>
      <c r="Y72" s="71" t="n">
        <f aca="false">Y24+Y40+Y56</f>
        <v>646595.251030203</v>
      </c>
      <c r="Z72" s="71" t="n">
        <f aca="false">Z24+Z40+Z56</f>
        <v>737302.0185679</v>
      </c>
      <c r="AA72" s="71" t="n">
        <f aca="false">AA24+AA40+AA56</f>
        <v>709504.938389329</v>
      </c>
      <c r="AB72" s="71" t="n">
        <f aca="false">AB24+AB40+AB56</f>
        <v>712579.461517762</v>
      </c>
    </row>
    <row r="73" customFormat="false" ht="15" hidden="false" customHeight="false" outlineLevel="0" collapsed="false">
      <c r="A73" s="28" t="s">
        <v>1208</v>
      </c>
      <c r="B73" s="58" t="s">
        <v>1207</v>
      </c>
      <c r="C73" s="59" t="n">
        <f aca="false">P73</f>
        <v>44314.0471683307</v>
      </c>
      <c r="D73" s="59" t="n">
        <f aca="false">AB73</f>
        <v>38761.109055064</v>
      </c>
      <c r="E73" s="71" t="n">
        <f aca="false">E25+E41+E57</f>
        <v>56471.5504363888</v>
      </c>
      <c r="F73" s="71" t="n">
        <f aca="false">F25+F41+F57</f>
        <v>71124.6722720529</v>
      </c>
      <c r="G73" s="71" t="n">
        <f aca="false">G25+G41+G57</f>
        <v>75450.8687273272</v>
      </c>
      <c r="H73" s="71" t="n">
        <f aca="false">H25+H41+H57</f>
        <v>36916.5417460318</v>
      </c>
      <c r="I73" s="71" t="n">
        <f aca="false">I25+I41+I57</f>
        <v>66622.8947716695</v>
      </c>
      <c r="J73" s="71" t="n">
        <f aca="false">J25+J41+J57</f>
        <v>38781.8119406345</v>
      </c>
      <c r="K73" s="71" t="n">
        <f aca="false">K25+K41+K57</f>
        <v>79499.3444115147</v>
      </c>
      <c r="L73" s="71" t="n">
        <f aca="false">L25+L41+L57</f>
        <v>137974.464873232</v>
      </c>
      <c r="M73" s="71" t="n">
        <f aca="false">M25+M41+M57</f>
        <v>116118.753141561</v>
      </c>
      <c r="N73" s="71" t="n">
        <f aca="false">N25+N41+N57</f>
        <v>104947.879250426</v>
      </c>
      <c r="O73" s="71" t="n">
        <f aca="false">O25+O41+O57</f>
        <v>71110.9435888876</v>
      </c>
      <c r="P73" s="71" t="n">
        <f aca="false">P25+P41+P57</f>
        <v>44314.0471683307</v>
      </c>
      <c r="Q73" s="71" t="n">
        <f aca="false">Q25+Q41+Q57</f>
        <v>62090.3906459996</v>
      </c>
      <c r="R73" s="71" t="n">
        <f aca="false">R25+R41+R57</f>
        <v>59804.9207190329</v>
      </c>
      <c r="S73" s="71" t="n">
        <f aca="false">S25+S41+S57</f>
        <v>65785.2863519704</v>
      </c>
      <c r="T73" s="71" t="n">
        <f aca="false">T25+T41+T57</f>
        <v>58146.8460195229</v>
      </c>
      <c r="U73" s="71" t="n">
        <f aca="false">U25+U41+U57</f>
        <v>65965.1012972098</v>
      </c>
      <c r="V73" s="71" t="n">
        <f aca="false">V25+V41+V57</f>
        <v>56817.7897433761</v>
      </c>
      <c r="W73" s="71" t="n">
        <f aca="false">W25+W41+W57</f>
        <v>71699.238057606</v>
      </c>
      <c r="X73" s="71" t="n">
        <f aca="false">X25+X41+X57</f>
        <v>53817.1051761368</v>
      </c>
      <c r="Y73" s="71" t="n">
        <f aca="false">Y25+Y41+Y57</f>
        <v>50198.8133663943</v>
      </c>
      <c r="Z73" s="71" t="n">
        <f aca="false">Z25+Z41+Z57</f>
        <v>52105.0974182827</v>
      </c>
      <c r="AA73" s="71" t="n">
        <f aca="false">AA25+AA41+AA57</f>
        <v>58900.5293145059</v>
      </c>
      <c r="AB73" s="71" t="n">
        <f aca="false">AB25+AB41+AB57</f>
        <v>38761.109055064</v>
      </c>
    </row>
    <row r="74" customFormat="false" ht="15" hidden="false" customHeight="false" outlineLevel="0" collapsed="false">
      <c r="A74" s="28" t="s">
        <v>1209</v>
      </c>
      <c r="B74" s="58" t="s">
        <v>1207</v>
      </c>
      <c r="C74" s="59" t="n">
        <f aca="false">P74</f>
        <v>2810.67545641537</v>
      </c>
      <c r="D74" s="59" t="n">
        <f aca="false">AB74</f>
        <v>10608</v>
      </c>
      <c r="E74" s="71" t="n">
        <f aca="false">E26+E42+E58</f>
        <v>68030.4779496652</v>
      </c>
      <c r="F74" s="71" t="n">
        <f aca="false">F26+F42+F58</f>
        <v>80699.3230402578</v>
      </c>
      <c r="G74" s="71" t="n">
        <f aca="false">G26+G42+G58</f>
        <v>71738.6281231405</v>
      </c>
      <c r="H74" s="71" t="n">
        <f aca="false">H26+H42+H58</f>
        <v>88889.4266295053</v>
      </c>
      <c r="I74" s="71" t="n">
        <f aca="false">I26+I42+I58</f>
        <v>55026.4496154423</v>
      </c>
      <c r="J74" s="71" t="n">
        <f aca="false">J26+J42+J58</f>
        <v>45288.2197937035</v>
      </c>
      <c r="K74" s="71" t="n">
        <f aca="false">K26+K42+K58</f>
        <v>89828.5440501093</v>
      </c>
      <c r="L74" s="71" t="n">
        <f aca="false">L26+L42+L58</f>
        <v>33513.5438072109</v>
      </c>
      <c r="M74" s="71" t="n">
        <f aca="false">M26+M42+M58</f>
        <v>20016.2605720231</v>
      </c>
      <c r="N74" s="71" t="n">
        <f aca="false">N26+N42+N58</f>
        <v>74070.8376144218</v>
      </c>
      <c r="O74" s="71" t="n">
        <f aca="false">O26+O42+O58</f>
        <v>49100.016792787</v>
      </c>
      <c r="P74" s="71" t="n">
        <f aca="false">P26+P42+P58</f>
        <v>2810.67545641537</v>
      </c>
      <c r="Q74" s="71" t="n">
        <f aca="false">Q26+Q42+Q58</f>
        <v>107011.087614422</v>
      </c>
      <c r="R74" s="71" t="n">
        <f aca="false">R26+R42+R58</f>
        <v>60930.6647480855</v>
      </c>
      <c r="S74" s="71" t="n">
        <f aca="false">S26+S42+S58</f>
        <v>30710.8861795727</v>
      </c>
      <c r="T74" s="71" t="n">
        <f aca="false">T26+T42+T58</f>
        <v>66353.8725256173</v>
      </c>
      <c r="U74" s="71" t="n">
        <f aca="false">U26+U42+U58</f>
        <v>42882.4217258626</v>
      </c>
      <c r="V74" s="71" t="n">
        <f aca="false">V26+V42+V58</f>
        <v>10608</v>
      </c>
      <c r="W74" s="71" t="n">
        <f aca="false">W26+W42+W58</f>
        <v>64785.3540070988</v>
      </c>
      <c r="X74" s="71" t="n">
        <f aca="false">X26+X42+X58</f>
        <v>32392.6770035494</v>
      </c>
      <c r="Y74" s="71" t="n">
        <f aca="false">Y26+Y42+Y58</f>
        <v>10608</v>
      </c>
      <c r="Z74" s="71" t="n">
        <f aca="false">Z26+Z42+Z58</f>
        <v>62737.3540070988</v>
      </c>
      <c r="AA74" s="71" t="n">
        <f aca="false">AA26+AA42+AA58</f>
        <v>31368.6770035494</v>
      </c>
      <c r="AB74" s="71" t="n">
        <f aca="false">AB26+AB42+AB58</f>
        <v>10608</v>
      </c>
    </row>
    <row r="75" customFormat="false" ht="15" hidden="false" customHeight="false" outlineLevel="0" collapsed="false">
      <c r="A75" s="68" t="s">
        <v>1210</v>
      </c>
      <c r="B75" s="69" t="s">
        <v>1207</v>
      </c>
      <c r="C75" s="70" t="n">
        <f aca="false">SUM(E75:P75)</f>
        <v>6342.8096469149</v>
      </c>
      <c r="D75" s="70" t="n">
        <f aca="false">SUM(Q75:AB75)</f>
        <v>0</v>
      </c>
      <c r="E75" s="70" t="n">
        <f aca="false">E28+E44+E60</f>
        <v>-800.697871121738</v>
      </c>
      <c r="F75" s="70" t="n">
        <f aca="false">F28+F44+F60</f>
        <v>-1448.57718564344</v>
      </c>
      <c r="G75" s="70" t="n">
        <f aca="false">G28+G44+G60</f>
        <v>6340.44653692775</v>
      </c>
      <c r="H75" s="70" t="n">
        <f aca="false">H28+H44+H60</f>
        <v>-2443.08892620365</v>
      </c>
      <c r="I75" s="70" t="n">
        <f aca="false">I28+I44+I60</f>
        <v>794.513923252787</v>
      </c>
      <c r="J75" s="70" t="n">
        <f aca="false">J28+J44+J60</f>
        <v>7283.56683512979</v>
      </c>
      <c r="K75" s="70" t="n">
        <f aca="false">K28+K44+K60</f>
        <v>-524.291312138201</v>
      </c>
      <c r="L75" s="70" t="n">
        <f aca="false">L28+L44+L60</f>
        <v>-2859.06235328839</v>
      </c>
      <c r="M75" s="70" t="n">
        <f aca="false">M28+M44+M60</f>
        <v>0</v>
      </c>
      <c r="N75" s="70" t="n">
        <f aca="false">N28+N44+N60</f>
        <v>0</v>
      </c>
      <c r="O75" s="70" t="n">
        <f aca="false">O28+O44+O60</f>
        <v>0</v>
      </c>
      <c r="P75" s="70" t="n">
        <f aca="false">P28+P44+P60</f>
        <v>0</v>
      </c>
      <c r="Q75" s="70" t="n">
        <f aca="false">Q28+Q44+Q60</f>
        <v>0</v>
      </c>
      <c r="R75" s="70" t="n">
        <f aca="false">R28+R44+R60</f>
        <v>0</v>
      </c>
      <c r="S75" s="70" t="n">
        <f aca="false">S28+S44+S60</f>
        <v>0</v>
      </c>
      <c r="T75" s="70" t="n">
        <f aca="false">T28+T44+T60</f>
        <v>0</v>
      </c>
      <c r="U75" s="70" t="n">
        <f aca="false">U28+U44+U60</f>
        <v>0</v>
      </c>
      <c r="V75" s="70" t="n">
        <f aca="false">V28+V44+V60</f>
        <v>0</v>
      </c>
      <c r="W75" s="70" t="n">
        <f aca="false">W28+W44+W60</f>
        <v>0</v>
      </c>
      <c r="X75" s="70" t="n">
        <f aca="false">X28+X44+X60</f>
        <v>0</v>
      </c>
      <c r="Y75" s="70" t="n">
        <f aca="false">Y28+Y44+Y60</f>
        <v>0</v>
      </c>
      <c r="Z75" s="70" t="n">
        <f aca="false">Z28+Z44+Z60</f>
        <v>0</v>
      </c>
      <c r="AA75" s="70" t="n">
        <f aca="false">AA28+AA44+AA60</f>
        <v>0</v>
      </c>
      <c r="AB75" s="70" t="n">
        <f aca="false">AB28+AB44+AB60</f>
        <v>0</v>
      </c>
    </row>
    <row r="76" customFormat="false" ht="15" hidden="false" customHeight="false" outlineLevel="0" collapsed="false">
      <c r="A76" s="28" t="s">
        <v>1211</v>
      </c>
      <c r="B76" s="58" t="s">
        <v>1212</v>
      </c>
      <c r="C76" s="59" t="n">
        <f aca="false">SUM(E76:P76)</f>
        <v>6825061.96674539</v>
      </c>
      <c r="D76" s="59" t="n">
        <f aca="false">SUM(Q76:AB76)</f>
        <v>6811302.8683222</v>
      </c>
      <c r="E76" s="71" t="n">
        <f aca="false">E67+E68</f>
        <v>482249.741801521</v>
      </c>
      <c r="F76" s="71" t="n">
        <f aca="false">F67+F68</f>
        <v>458766.418174928</v>
      </c>
      <c r="G76" s="71" t="n">
        <f aca="false">G67+G68</f>
        <v>500028.210550656</v>
      </c>
      <c r="H76" s="71" t="n">
        <f aca="false">H67+H68</f>
        <v>546540.78873093</v>
      </c>
      <c r="I76" s="71" t="n">
        <f aca="false">I67+I68</f>
        <v>557316.294945783</v>
      </c>
      <c r="J76" s="71" t="n">
        <f aca="false">J67+J68</f>
        <v>579747.278093447</v>
      </c>
      <c r="K76" s="71" t="n">
        <f aca="false">K67+K68</f>
        <v>576496.790578174</v>
      </c>
      <c r="L76" s="71" t="n">
        <f aca="false">L67+L68</f>
        <v>612918.440112301</v>
      </c>
      <c r="M76" s="71" t="n">
        <f aca="false">M67+M68</f>
        <v>623083.270922469</v>
      </c>
      <c r="N76" s="71" t="n">
        <f aca="false">N67+N68</f>
        <v>632301.302365401</v>
      </c>
      <c r="O76" s="71" t="n">
        <f aca="false">O67+O68</f>
        <v>668650.576633748</v>
      </c>
      <c r="P76" s="71" t="n">
        <f aca="false">P67+P68</f>
        <v>586962.853836029</v>
      </c>
      <c r="Q76" s="71" t="n">
        <f aca="false">Q67+Q68</f>
        <v>507001.612089842</v>
      </c>
      <c r="R76" s="71" t="n">
        <f aca="false">R67+R68</f>
        <v>533023.961206924</v>
      </c>
      <c r="S76" s="71" t="n">
        <f aca="false">S67+S68</f>
        <v>578892.301889128</v>
      </c>
      <c r="T76" s="71" t="n">
        <f aca="false">T67+T68</f>
        <v>597584.053405691</v>
      </c>
      <c r="U76" s="71" t="n">
        <f aca="false">U67+U68</f>
        <v>596573.323231012</v>
      </c>
      <c r="V76" s="71" t="n">
        <f aca="false">V67+V68</f>
        <v>573809.989394471</v>
      </c>
      <c r="W76" s="71" t="n">
        <f aca="false">W67+W68</f>
        <v>535446.418573035</v>
      </c>
      <c r="X76" s="71" t="n">
        <f aca="false">X67+X68</f>
        <v>540748.801641332</v>
      </c>
      <c r="Y76" s="71" t="n">
        <f aca="false">Y67+Y68</f>
        <v>550770.82356877</v>
      </c>
      <c r="Z76" s="71" t="n">
        <f aca="false">Z67+Z68</f>
        <v>581754.15637866</v>
      </c>
      <c r="AA76" s="71" t="n">
        <f aca="false">AA67+AA68</f>
        <v>635634.21016989</v>
      </c>
      <c r="AB76" s="71" t="n">
        <f aca="false">AB67+AB68</f>
        <v>580063.216773444</v>
      </c>
    </row>
    <row r="77" customFormat="false" ht="15" hidden="false" customHeight="false" outlineLevel="0" collapsed="false">
      <c r="A77" s="22" t="s">
        <v>1213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row>
    <row r="78" customFormat="false" ht="15" hidden="false" customHeight="false" outlineLevel="0" collapsed="false">
      <c r="A78" s="28" t="s">
        <v>1214</v>
      </c>
      <c r="B78" s="58"/>
      <c r="C78" s="61" t="n">
        <f aca="false">IF(C67=0,0,C35/C67)</f>
        <v>0.490562202000023</v>
      </c>
      <c r="D78" s="61" t="n">
        <f aca="false">IF(D67=0,0,D35/D67)</f>
        <v>0.433848377534756</v>
      </c>
      <c r="E78" s="62" t="n">
        <f aca="false">IF(E67=0,0,E35/E67)</f>
        <v>0.60042264324519</v>
      </c>
      <c r="F78" s="62" t="n">
        <f aca="false">IF(F67=0,0,F35/F67)</f>
        <v>0.569144262774136</v>
      </c>
      <c r="G78" s="62" t="n">
        <f aca="false">IF(G67=0,0,G35/G67)</f>
        <v>0.52762876106143</v>
      </c>
      <c r="H78" s="62" t="n">
        <f aca="false">IF(H67=0,0,H35/H67)</f>
        <v>0.463515085518627</v>
      </c>
      <c r="I78" s="62" t="n">
        <f aca="false">IF(I67=0,0,I35/I67)</f>
        <v>0.451778942227341</v>
      </c>
      <c r="J78" s="62" t="n">
        <f aca="false">IF(J67=0,0,J35/J67)</f>
        <v>0.474118438695148</v>
      </c>
      <c r="K78" s="62" t="n">
        <f aca="false">IF(K67=0,0,K35/K67)</f>
        <v>0.505293115186861</v>
      </c>
      <c r="L78" s="62" t="n">
        <f aca="false">IF(L67=0,0,L35/L67)</f>
        <v>0.513349314366683</v>
      </c>
      <c r="M78" s="62" t="n">
        <f aca="false">IF(M67=0,0,M35/M67)</f>
        <v>0.482623692670998</v>
      </c>
      <c r="N78" s="62" t="n">
        <f aca="false">IF(N67=0,0,N35/N67)</f>
        <v>0.470754414716165</v>
      </c>
      <c r="O78" s="62" t="n">
        <f aca="false">IF(O67=0,0,O35/O67)</f>
        <v>0.43418138220796</v>
      </c>
      <c r="P78" s="62" t="n">
        <f aca="false">IF(P67=0,0,P35/P67)</f>
        <v>0.427217183979072</v>
      </c>
      <c r="Q78" s="62" t="n">
        <f aca="false">IF(Q67=0,0,Q35/Q67)</f>
        <v>0.443623839119947</v>
      </c>
      <c r="R78" s="62" t="n">
        <f aca="false">IF(R67=0,0,R35/R67)</f>
        <v>0.424322312532279</v>
      </c>
      <c r="S78" s="62" t="n">
        <f aca="false">IF(S67=0,0,S35/S67)</f>
        <v>0.439558394262954</v>
      </c>
      <c r="T78" s="62" t="n">
        <f aca="false">IF(T67=0,0,T35/T67)</f>
        <v>0.431320585553469</v>
      </c>
      <c r="U78" s="62" t="n">
        <f aca="false">IF(U67=0,0,U35/U67)</f>
        <v>0.437715645034992</v>
      </c>
      <c r="V78" s="62" t="n">
        <f aca="false">IF(V67=0,0,V35/V67)</f>
        <v>0.45756129659447</v>
      </c>
      <c r="W78" s="62" t="n">
        <f aca="false">IF(W67=0,0,W35/W67)</f>
        <v>0.433980239534448</v>
      </c>
      <c r="X78" s="62" t="n">
        <f aca="false">IF(X67=0,0,X35/X67)</f>
        <v>0.42641858372463</v>
      </c>
      <c r="Y78" s="62" t="n">
        <f aca="false">IF(Y67=0,0,Y35/Y67)</f>
        <v>0.436466516006898</v>
      </c>
      <c r="Z78" s="62" t="n">
        <f aca="false">IF(Z67=0,0,Z35/Z67)</f>
        <v>0.423952836003757</v>
      </c>
      <c r="AA78" s="62" t="n">
        <f aca="false">IF(AA67=0,0,AA35/AA67)</f>
        <v>0.419963041082206</v>
      </c>
      <c r="AB78" s="62" t="n">
        <f aca="false">IF(AB67=0,0,AB35/AB67)</f>
        <v>0.430833498178187</v>
      </c>
    </row>
    <row r="79" customFormat="false" ht="15" hidden="false" customHeight="false" outlineLevel="0" collapsed="false">
      <c r="A79" s="28" t="s">
        <v>1215</v>
      </c>
      <c r="B79" s="58"/>
      <c r="C79" s="61" t="n">
        <f aca="false">IF(C67=0,0,C51/C67)</f>
        <v>0.188484935660152</v>
      </c>
      <c r="D79" s="61" t="n">
        <f aca="false">IF(D67=0,0,D51/D67)</f>
        <v>0.135261490423359</v>
      </c>
      <c r="E79" s="62" t="n">
        <f aca="false">IF(E67=0,0,E51/E67)</f>
        <v>0.0507060028016773</v>
      </c>
      <c r="F79" s="62" t="n">
        <f aca="false">IF(F67=0,0,F51/F67)</f>
        <v>0.0769788551462787</v>
      </c>
      <c r="G79" s="62" t="n">
        <f aca="false">IF(G67=0,0,G51/G67)</f>
        <v>0.120320362166706</v>
      </c>
      <c r="H79" s="62" t="n">
        <f aca="false">IF(H67=0,0,H51/H67)</f>
        <v>0.207372741734272</v>
      </c>
      <c r="I79" s="62" t="n">
        <f aca="false">IF(I67=0,0,I51/I67)</f>
        <v>0.219283700813124</v>
      </c>
      <c r="J79" s="62" t="n">
        <f aca="false">IF(J67=0,0,J51/J67)</f>
        <v>0.197776840249634</v>
      </c>
      <c r="K79" s="62" t="n">
        <f aca="false">IF(K67=0,0,K51/K67)</f>
        <v>0.182735971988521</v>
      </c>
      <c r="L79" s="62" t="n">
        <f aca="false">IF(L67=0,0,L51/L67)</f>
        <v>0.171406355945057</v>
      </c>
      <c r="M79" s="62" t="n">
        <f aca="false">IF(M67=0,0,M51/M67)</f>
        <v>0.212260825233217</v>
      </c>
      <c r="N79" s="62" t="n">
        <f aca="false">IF(N67=0,0,N51/N67)</f>
        <v>0.253377023724403</v>
      </c>
      <c r="O79" s="62" t="n">
        <f aca="false">IF(O67=0,0,O51/O67)</f>
        <v>0.265086374996164</v>
      </c>
      <c r="P79" s="62" t="n">
        <f aca="false">IF(P67=0,0,P51/P67)</f>
        <v>0.243122633589701</v>
      </c>
      <c r="Q79" s="62" t="n">
        <f aca="false">IF(Q67=0,0,Q51/Q67)</f>
        <v>0.194948324037302</v>
      </c>
      <c r="R79" s="62" t="n">
        <f aca="false">IF(R67=0,0,R51/R67)</f>
        <v>0.17981421924651</v>
      </c>
      <c r="S79" s="62" t="n">
        <f aca="false">IF(S67=0,0,S51/S67)</f>
        <v>0.15781348412977</v>
      </c>
      <c r="T79" s="62" t="n">
        <f aca="false">IF(T67=0,0,T51/T67)</f>
        <v>0.128770825538981</v>
      </c>
      <c r="U79" s="62" t="n">
        <f aca="false">IF(U67=0,0,U51/U67)</f>
        <v>0.115482077391012</v>
      </c>
      <c r="V79" s="62" t="n">
        <f aca="false">IF(V67=0,0,V51/V67)</f>
        <v>0.118232774935873</v>
      </c>
      <c r="W79" s="62" t="n">
        <f aca="false">IF(W67=0,0,W51/W67)</f>
        <v>0.116065865374728</v>
      </c>
      <c r="X79" s="62" t="n">
        <f aca="false">IF(X67=0,0,X51/X67)</f>
        <v>0.118769288464748</v>
      </c>
      <c r="Y79" s="62" t="n">
        <f aca="false">IF(Y67=0,0,Y51/Y67)</f>
        <v>0.124651160379698</v>
      </c>
      <c r="Z79" s="62" t="n">
        <f aca="false">IF(Z67=0,0,Z51/Z67)</f>
        <v>0.121475267547555</v>
      </c>
      <c r="AA79" s="62" t="n">
        <f aca="false">IF(AA67=0,0,AA51/AA67)</f>
        <v>0.125467149627139</v>
      </c>
      <c r="AB79" s="62" t="n">
        <f aca="false">IF(AB67=0,0,AB51/AB67)</f>
        <v>0.131797029964674</v>
      </c>
    </row>
    <row r="80" customFormat="false" ht="15" hidden="false" customHeight="false" outlineLevel="0" collapsed="false">
      <c r="A80" s="28" t="s">
        <v>1216</v>
      </c>
      <c r="B80" s="58" t="s">
        <v>1217</v>
      </c>
      <c r="C80" s="59" t="n">
        <f aca="false">P80</f>
        <v>-27692.8339070451</v>
      </c>
      <c r="D80" s="59" t="n">
        <f aca="false">AB80</f>
        <v>-23838.5144777428</v>
      </c>
      <c r="E80" s="71" t="n">
        <f aca="false">(E43+E59)*(1/1.05-1)</f>
        <v>-24352.6985803944</v>
      </c>
      <c r="F80" s="71" t="n">
        <f aca="false">(F43+F59)*(1/1.05-1)</f>
        <v>-17544.5179461125</v>
      </c>
      <c r="G80" s="71" t="n">
        <f aca="false">(G43+G59)*(1/1.05-1)</f>
        <v>-20543.3956134878</v>
      </c>
      <c r="H80" s="71" t="n">
        <f aca="false">(H43+H59)*(1/1.05-1)</f>
        <v>-21256.8162055201</v>
      </c>
      <c r="I80" s="71" t="n">
        <f aca="false">(I43+I59)*(1/1.05-1)</f>
        <v>-20851.5139572832</v>
      </c>
      <c r="J80" s="71" t="n">
        <f aca="false">(J43+J59)*(1/1.05-1)</f>
        <v>-26679.1313210033</v>
      </c>
      <c r="K80" s="71" t="n">
        <f aca="false">(K43+K59)*(1/1.05-1)</f>
        <v>-24133.6993063147</v>
      </c>
      <c r="L80" s="71" t="n">
        <f aca="false">(L43+L59)*(1/1.05-1)</f>
        <v>-25838.8671200409</v>
      </c>
      <c r="M80" s="71" t="n">
        <f aca="false">(M43+M59)*(1/1.05-1)</f>
        <v>-30946.5925563383</v>
      </c>
      <c r="N80" s="71" t="n">
        <f aca="false">(N43+N59)*(1/1.05-1)</f>
        <v>-31034.424927769</v>
      </c>
      <c r="O80" s="71" t="n">
        <f aca="false">(O43+O59)*(1/1.05-1)</f>
        <v>-31248.637414772</v>
      </c>
      <c r="P80" s="71" t="n">
        <f aca="false">(P43+P59)*(1/1.05-1)</f>
        <v>-27692.8339070451</v>
      </c>
      <c r="Q80" s="71" t="n">
        <f aca="false">(Q43+Q59)*(1/1.05-1)</f>
        <v>-23654.7937744679</v>
      </c>
      <c r="R80" s="71" t="n">
        <f aca="false">(R43+R59)*(1/1.05-1)</f>
        <v>-21109.8037741835</v>
      </c>
      <c r="S80" s="71" t="n">
        <f aca="false">(S43+S59)*(1/1.05-1)</f>
        <v>-22973.0542552815</v>
      </c>
      <c r="T80" s="71" t="n">
        <f aca="false">(T43+T59)*(1/1.05-1)</f>
        <v>-23997.8627801231</v>
      </c>
      <c r="U80" s="71" t="n">
        <f aca="false">(U43+U59)*(1/1.05-1)</f>
        <v>-23217.4769241725</v>
      </c>
      <c r="V80" s="71" t="n">
        <f aca="false">(V43+V59)*(1/1.05-1)</f>
        <v>-23306.2806851462</v>
      </c>
      <c r="W80" s="71" t="n">
        <f aca="false">(W43+W59)*(1/1.05-1)</f>
        <v>-22291.8838729183</v>
      </c>
      <c r="X80" s="71" t="n">
        <f aca="false">(X43+X59)*(1/1.05-1)</f>
        <v>-20524.3686979664</v>
      </c>
      <c r="Y80" s="71" t="n">
        <f aca="false">(Y43+Y59)*(1/1.05-1)</f>
        <v>-21673.2613188591</v>
      </c>
      <c r="Z80" s="71" t="n">
        <f aca="false">(Z43+Z59)*(1/1.05-1)</f>
        <v>-23018.1171803959</v>
      </c>
      <c r="AA80" s="71" t="n">
        <f aca="false">(AA43+AA59)*(1/1.05-1)</f>
        <v>-23506.4677082359</v>
      </c>
      <c r="AB80" s="71" t="n">
        <f aca="false">(AB43+AB59)*(1/1.05-1)</f>
        <v>-23838.5144777428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1218</v>
      </c>
    </row>
    <row r="3" customFormat="false" ht="15" hidden="false" customHeight="false" outlineLevel="0" collapsed="false">
      <c r="A3" s="49" t="s">
        <v>1219</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1220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605</v>
      </c>
      <c r="B9" s="58" t="s">
        <v>61</v>
      </c>
      <c r="C9" s="59" t="n">
        <f aca="false">P9</f>
        <v>183868.83060351</v>
      </c>
      <c r="D9" s="59" t="n">
        <f aca="false">AB9</f>
        <v>235042.86638765</v>
      </c>
      <c r="E9" s="60" t="n">
        <f aca="false">FX!E24</f>
        <v>180833.5988</v>
      </c>
      <c r="F9" s="60" t="n">
        <f aca="false">FX!F24</f>
        <v>149576.8344</v>
      </c>
      <c r="G9" s="60" t="n">
        <f aca="false">FX!G24</f>
        <v>133915.0084</v>
      </c>
      <c r="H9" s="60" t="n">
        <f aca="false">FX!H24</f>
        <v>208320.0968</v>
      </c>
      <c r="I9" s="60" t="n">
        <f aca="false">FX!I24</f>
        <v>194481.1148</v>
      </c>
      <c r="J9" s="60" t="n">
        <f aca="false">FX!J24</f>
        <v>151415.8996</v>
      </c>
      <c r="K9" s="60" t="n">
        <f aca="false">FX!K24</f>
        <v>189035.7464</v>
      </c>
      <c r="L9" s="60" t="n">
        <f aca="false">FX!L24</f>
        <v>166073.4028</v>
      </c>
      <c r="M9" s="60" t="n">
        <f aca="false">FX!M24</f>
        <v>153123.1524</v>
      </c>
      <c r="N9" s="60" t="n">
        <f aca="false">FX!N24</f>
        <v>247316.054408034</v>
      </c>
      <c r="O9" s="60" t="n">
        <f aca="false">FX!O24</f>
        <v>179303.699545892</v>
      </c>
      <c r="P9" s="60" t="n">
        <f aca="false">FX!P24</f>
        <v>183868.83060351</v>
      </c>
      <c r="Q9" s="60" t="n">
        <f aca="false">FX!Q24</f>
        <v>250048.641180887</v>
      </c>
      <c r="R9" s="60" t="n">
        <f aca="false">FX!R24</f>
        <v>130195.966120983</v>
      </c>
      <c r="S9" s="60" t="n">
        <f aca="false">FX!S24</f>
        <v>225374.028244278</v>
      </c>
      <c r="T9" s="60" t="n">
        <f aca="false">FX!T24</f>
        <v>251503.761331022</v>
      </c>
      <c r="U9" s="60" t="n">
        <f aca="false">FX!U24</f>
        <v>202570.453584304</v>
      </c>
      <c r="V9" s="60" t="n">
        <f aca="false">FX!V24</f>
        <v>234090.682117637</v>
      </c>
      <c r="W9" s="60" t="n">
        <f aca="false">FX!W24</f>
        <v>236331.177564226</v>
      </c>
      <c r="X9" s="60" t="n">
        <f aca="false">FX!X24</f>
        <v>201127.698854058</v>
      </c>
      <c r="Y9" s="60" t="n">
        <f aca="false">FX!Y24</f>
        <v>221337.165027547</v>
      </c>
      <c r="Z9" s="60" t="n">
        <f aca="false">FX!Z24</f>
        <v>252151.304264356</v>
      </c>
      <c r="AA9" s="60" t="n">
        <f aca="false">FX!AA24</f>
        <v>228222.142407728</v>
      </c>
      <c r="AB9" s="60" t="n">
        <f aca="false">FX!AB24</f>
        <v>235042.86638765</v>
      </c>
    </row>
    <row r="10" customFormat="false" ht="15" hidden="false" customHeight="false" outlineLevel="0" collapsed="false">
      <c r="A10" s="28" t="s">
        <v>1221</v>
      </c>
      <c r="B10" s="58" t="s">
        <v>61</v>
      </c>
      <c r="C10" s="59" t="n">
        <f aca="false">P10</f>
        <v>220730.398847694</v>
      </c>
      <c r="D10" s="59" t="n">
        <f aca="false">AB10</f>
        <v>225414.742767228</v>
      </c>
      <c r="E10" s="60" t="n">
        <f aca="false">FX!E40</f>
        <v>324748.464557839</v>
      </c>
      <c r="F10" s="60" t="n">
        <f aca="false">FX!F40</f>
        <v>172070.580851307</v>
      </c>
      <c r="G10" s="60" t="n">
        <f aca="false">FX!G40</f>
        <v>254842.214365506</v>
      </c>
      <c r="H10" s="60" t="n">
        <f aca="false">FX!H40</f>
        <v>291635.659451659</v>
      </c>
      <c r="I10" s="60" t="n">
        <f aca="false">FX!I40</f>
        <v>183482.178891413</v>
      </c>
      <c r="J10" s="60" t="n">
        <f aca="false">FX!J40</f>
        <v>264594.165564297</v>
      </c>
      <c r="K10" s="60" t="n">
        <f aca="false">FX!K40</f>
        <v>257253.120143036</v>
      </c>
      <c r="L10" s="60" t="n">
        <f aca="false">FX!L40</f>
        <v>199301.81778909</v>
      </c>
      <c r="M10" s="60" t="n">
        <f aca="false">FX!M40</f>
        <v>312142.00194076</v>
      </c>
      <c r="N10" s="60" t="n">
        <f aca="false">FX!N40</f>
        <v>264315.944000431</v>
      </c>
      <c r="O10" s="60" t="n">
        <f aca="false">FX!O40</f>
        <v>278221.429471078</v>
      </c>
      <c r="P10" s="60" t="n">
        <f aca="false">FX!P40</f>
        <v>220730.398847694</v>
      </c>
      <c r="Q10" s="60" t="n">
        <f aca="false">FX!Q40</f>
        <v>239235.098136502</v>
      </c>
      <c r="R10" s="60" t="n">
        <f aca="false">FX!R40</f>
        <v>225066.502949137</v>
      </c>
      <c r="S10" s="60" t="n">
        <f aca="false">FX!S40</f>
        <v>220961.68881203</v>
      </c>
      <c r="T10" s="60" t="n">
        <f aca="false">FX!T40</f>
        <v>252319.270123372</v>
      </c>
      <c r="U10" s="60" t="n">
        <f aca="false">FX!U40</f>
        <v>247353.957512908</v>
      </c>
      <c r="V10" s="60" t="n">
        <f aca="false">FX!V40</f>
        <v>227779.37719609</v>
      </c>
      <c r="W10" s="60" t="n">
        <f aca="false">FX!W40</f>
        <v>248654.711525147</v>
      </c>
      <c r="X10" s="60" t="n">
        <f aca="false">FX!X40</f>
        <v>230473.386713557</v>
      </c>
      <c r="Y10" s="60" t="n">
        <f aca="false">FX!Y40</f>
        <v>222626.143953674</v>
      </c>
      <c r="Z10" s="60" t="n">
        <f aca="false">FX!Z40</f>
        <v>267291.107542592</v>
      </c>
      <c r="AA10" s="60" t="n">
        <f aca="false">FX!AA40</f>
        <v>236774.775974703</v>
      </c>
      <c r="AB10" s="60" t="n">
        <f aca="false">FX!AB40</f>
        <v>225414.742767228</v>
      </c>
    </row>
    <row r="11" customFormat="false" ht="15" hidden="false" customHeight="false" outlineLevel="0" collapsed="false">
      <c r="A11" s="28" t="s">
        <v>1222</v>
      </c>
      <c r="B11" s="58" t="s">
        <v>61</v>
      </c>
      <c r="C11" s="59" t="n">
        <f aca="false">P11</f>
        <v>341444.972404277</v>
      </c>
      <c r="D11" s="59" t="n">
        <f aca="false">AB11</f>
        <v>252121.852362884</v>
      </c>
      <c r="E11" s="60" t="n">
        <f aca="false">FX!E56</f>
        <v>193247.87314372</v>
      </c>
      <c r="F11" s="60" t="n">
        <f aca="false">FX!F56</f>
        <v>198739.18678526</v>
      </c>
      <c r="G11" s="60" t="n">
        <f aca="false">FX!G56</f>
        <v>191704.25291355</v>
      </c>
      <c r="H11" s="60" t="n">
        <f aca="false">FX!H56</f>
        <v>194476.875747735</v>
      </c>
      <c r="I11" s="60" t="n">
        <f aca="false">FX!I56</f>
        <v>223675.249055307</v>
      </c>
      <c r="J11" s="60" t="n">
        <f aca="false">FX!J56</f>
        <v>316774.39002984</v>
      </c>
      <c r="K11" s="60" t="n">
        <f aca="false">FX!K56</f>
        <v>257694.444928167</v>
      </c>
      <c r="L11" s="60" t="n">
        <f aca="false">FX!L56</f>
        <v>241673.930665747</v>
      </c>
      <c r="M11" s="60" t="n">
        <f aca="false">FX!M56</f>
        <v>282534.692997585</v>
      </c>
      <c r="N11" s="60" t="n">
        <f aca="false">FX!N56</f>
        <v>337765.031045188</v>
      </c>
      <c r="O11" s="60" t="n">
        <f aca="false">FX!O56</f>
        <v>368584.054846499</v>
      </c>
      <c r="P11" s="60" t="n">
        <f aca="false">FX!P56</f>
        <v>341444.972404277</v>
      </c>
      <c r="Q11" s="60" t="n">
        <f aca="false">FX!Q56</f>
        <v>249999.09451535</v>
      </c>
      <c r="R11" s="60" t="n">
        <f aca="false">FX!R56</f>
        <v>232748.361503967</v>
      </c>
      <c r="S11" s="60" t="n">
        <f aca="false">FX!S56</f>
        <v>227410.313901345</v>
      </c>
      <c r="T11" s="60" t="n">
        <f aca="false">FX!T56</f>
        <v>245563.987581925</v>
      </c>
      <c r="U11" s="60" t="n">
        <f aca="false">FX!U56</f>
        <v>238728.009658503</v>
      </c>
      <c r="V11" s="60" t="n">
        <f aca="false">FX!V56</f>
        <v>224149.706795447</v>
      </c>
      <c r="W11" s="60" t="n">
        <f aca="false">FX!W56</f>
        <v>203662.038634012</v>
      </c>
      <c r="X11" s="60" t="n">
        <f aca="false">FX!X56</f>
        <v>191211.193515005</v>
      </c>
      <c r="Y11" s="60" t="n">
        <f aca="false">FX!Y56</f>
        <v>202631.942048982</v>
      </c>
      <c r="Z11" s="60" t="n">
        <f aca="false">FX!Z56</f>
        <v>217859.606760952</v>
      </c>
      <c r="AA11" s="60" t="n">
        <f aca="false">FX!AA56</f>
        <v>244508.020006899</v>
      </c>
      <c r="AB11" s="60" t="n">
        <f aca="false">FX!AB56</f>
        <v>252121.852362884</v>
      </c>
    </row>
    <row r="12" customFormat="false" ht="15" hidden="false" customHeight="false" outlineLevel="0" collapsed="false">
      <c r="A12" s="68" t="s">
        <v>1223</v>
      </c>
      <c r="B12" s="69"/>
      <c r="C12" s="70" t="n">
        <f aca="false">P12</f>
        <v>746044.201855481</v>
      </c>
      <c r="D12" s="70" t="n">
        <f aca="false">AB12</f>
        <v>712579.461517762</v>
      </c>
      <c r="E12" s="70" t="n">
        <f aca="false">E9+E10+E11</f>
        <v>698829.936501559</v>
      </c>
      <c r="F12" s="70" t="n">
        <f aca="false">F9+F10+F11</f>
        <v>520386.602036567</v>
      </c>
      <c r="G12" s="70" t="n">
        <f aca="false">G9+G10+G11</f>
        <v>580461.475679056</v>
      </c>
      <c r="H12" s="70" t="n">
        <f aca="false">H9+H10+H11</f>
        <v>694432.631999395</v>
      </c>
      <c r="I12" s="70" t="n">
        <f aca="false">I9+I10+I11</f>
        <v>601638.54274672</v>
      </c>
      <c r="J12" s="70" t="n">
        <f aca="false">J9+J10+J11</f>
        <v>732784.455194138</v>
      </c>
      <c r="K12" s="70" t="n">
        <f aca="false">K9+K10+K11</f>
        <v>703983.311471203</v>
      </c>
      <c r="L12" s="70" t="n">
        <f aca="false">L9+L10+L11</f>
        <v>607049.151254837</v>
      </c>
      <c r="M12" s="70" t="n">
        <f aca="false">M9+M10+M11</f>
        <v>747799.847338345</v>
      </c>
      <c r="N12" s="70" t="n">
        <f aca="false">N9+N10+N11</f>
        <v>849397.029453653</v>
      </c>
      <c r="O12" s="70" t="n">
        <f aca="false">O9+O10+O11</f>
        <v>826109.183863469</v>
      </c>
      <c r="P12" s="70" t="n">
        <f aca="false">P9+P10+P11</f>
        <v>746044.201855481</v>
      </c>
      <c r="Q12" s="70" t="n">
        <f aca="false">Q9+Q10+Q11</f>
        <v>739282.833832739</v>
      </c>
      <c r="R12" s="70" t="n">
        <f aca="false">R9+R10+R11</f>
        <v>588010.830574087</v>
      </c>
      <c r="S12" s="70" t="n">
        <f aca="false">S9+S10+S11</f>
        <v>673746.030957654</v>
      </c>
      <c r="T12" s="70" t="n">
        <f aca="false">T9+T10+T11</f>
        <v>749387.019036319</v>
      </c>
      <c r="U12" s="70" t="n">
        <f aca="false">U9+U10+U11</f>
        <v>688652.420755715</v>
      </c>
      <c r="V12" s="70" t="n">
        <f aca="false">V9+V10+V11</f>
        <v>686019.766109174</v>
      </c>
      <c r="W12" s="70" t="n">
        <f aca="false">W9+W10+W11</f>
        <v>688647.927723385</v>
      </c>
      <c r="X12" s="70" t="n">
        <f aca="false">X9+X10+X11</f>
        <v>622812.27908262</v>
      </c>
      <c r="Y12" s="70" t="n">
        <f aca="false">Y9+Y10+Y11</f>
        <v>646595.251030203</v>
      </c>
      <c r="Z12" s="70" t="n">
        <f aca="false">Z9+Z10+Z11</f>
        <v>737302.0185679</v>
      </c>
      <c r="AA12" s="70" t="n">
        <f aca="false">AA9+AA10+AA11</f>
        <v>709504.938389329</v>
      </c>
      <c r="AB12" s="70" t="n">
        <f aca="false">AB9+AB10+AB11</f>
        <v>712579.461517762</v>
      </c>
    </row>
    <row r="13" customFormat="false" ht="15" hidden="false" customHeight="false" outlineLevel="0" collapsed="false">
      <c r="A13" s="22" t="s">
        <v>1224</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false" outlineLevel="0" collapsed="false">
      <c r="A14" s="28" t="s">
        <v>1225</v>
      </c>
      <c r="B14" s="58" t="s">
        <v>61</v>
      </c>
      <c r="C14" s="59" t="n">
        <f aca="false">SUM(E14:P14)</f>
        <v>7114.5222490514</v>
      </c>
      <c r="D14" s="59" t="n">
        <f aca="false">SUM(Q14:AB14)</f>
        <v>0</v>
      </c>
      <c r="E14" s="60" t="n">
        <f aca="false">FX!E71</f>
        <v>0</v>
      </c>
      <c r="F14" s="60" t="n">
        <f aca="false">FX!F71</f>
        <v>0</v>
      </c>
      <c r="G14" s="60" t="n">
        <f aca="false">FX!G71</f>
        <v>0</v>
      </c>
      <c r="H14" s="60" t="n">
        <f aca="false">FX!H71</f>
        <v>0</v>
      </c>
      <c r="I14" s="60" t="n">
        <f aca="false">FX!I71</f>
        <v>0</v>
      </c>
      <c r="J14" s="60" t="n">
        <f aca="false">FX!J71</f>
        <v>0</v>
      </c>
      <c r="K14" s="60" t="n">
        <f aca="false">FX!K71</f>
        <v>0</v>
      </c>
      <c r="L14" s="60" t="n">
        <f aca="false">FX!L71</f>
        <v>0</v>
      </c>
      <c r="M14" s="60" t="n">
        <f aca="false">FX!M71</f>
        <v>0</v>
      </c>
      <c r="N14" s="60" t="n">
        <f aca="false">FX!N71</f>
        <v>0</v>
      </c>
      <c r="O14" s="60" t="n">
        <f aca="false">FX!O71</f>
        <v>7114.5222490514</v>
      </c>
      <c r="P14" s="60" t="n">
        <f aca="false">FX!P71</f>
        <v>0</v>
      </c>
      <c r="Q14" s="60" t="n">
        <f aca="false">FX!Q71</f>
        <v>0</v>
      </c>
      <c r="R14" s="60" t="n">
        <f aca="false">FX!R71</f>
        <v>0</v>
      </c>
      <c r="S14" s="60" t="n">
        <f aca="false">FX!S71</f>
        <v>0</v>
      </c>
      <c r="T14" s="60" t="n">
        <f aca="false">FX!T71</f>
        <v>0</v>
      </c>
      <c r="U14" s="60" t="n">
        <f aca="false">FX!U71</f>
        <v>0</v>
      </c>
      <c r="V14" s="60" t="n">
        <f aca="false">FX!V71</f>
        <v>0</v>
      </c>
      <c r="W14" s="60" t="n">
        <f aca="false">FX!W71</f>
        <v>0</v>
      </c>
      <c r="X14" s="60" t="n">
        <f aca="false">FX!X71</f>
        <v>0</v>
      </c>
      <c r="Y14" s="60" t="n">
        <f aca="false">FX!Y71</f>
        <v>0</v>
      </c>
      <c r="Z14" s="60" t="n">
        <f aca="false">FX!Z71</f>
        <v>0</v>
      </c>
      <c r="AA14" s="60" t="n">
        <f aca="false">FX!AA71</f>
        <v>0</v>
      </c>
      <c r="AB14" s="60" t="n">
        <f aca="false">FX!AB71</f>
        <v>0</v>
      </c>
    </row>
    <row r="15" customFormat="false" ht="15" hidden="false" customHeight="false" outlineLevel="0" collapsed="false">
      <c r="A15" s="28" t="s">
        <v>1226</v>
      </c>
      <c r="B15" s="58" t="s">
        <v>1227</v>
      </c>
      <c r="C15" s="59" t="n">
        <f aca="false">SUM(E15:P15)</f>
        <v>7114.5222490514</v>
      </c>
      <c r="D15" s="59" t="n">
        <f aca="false">SUM(Q15:AB15)</f>
        <v>0</v>
      </c>
      <c r="E15" s="60" t="n">
        <f aca="false">IF(E$5="A",Inputs_Actuals!E168,IF(Assumptions!E$98=Assumptions!$F$133,E14-0,0))</f>
        <v>0</v>
      </c>
      <c r="F15" s="60" t="n">
        <f aca="false">IF(F$5="A",Inputs_Actuals!F168,IF(Assumptions!F$98=Assumptions!$F$133,F14-E16,0))</f>
        <v>0</v>
      </c>
      <c r="G15" s="60" t="n">
        <f aca="false">IF(G$5="A",Inputs_Actuals!G168,IF(Assumptions!G$98=Assumptions!$F$133,G14-F16,0))</f>
        <v>0</v>
      </c>
      <c r="H15" s="60" t="n">
        <f aca="false">IF(H$5="A",Inputs_Actuals!H168,IF(Assumptions!H$98=Assumptions!$F$133,H14-G16,0))</f>
        <v>0</v>
      </c>
      <c r="I15" s="60" t="n">
        <f aca="false">IF(I$5="A",Inputs_Actuals!I168,IF(Assumptions!I$98=Assumptions!$F$133,I14-H16,0))</f>
        <v>0</v>
      </c>
      <c r="J15" s="60" t="n">
        <f aca="false">IF(J$5="A",Inputs_Actuals!J168,IF(Assumptions!J$98=Assumptions!$F$133,J14-I16,0))</f>
        <v>7240.65</v>
      </c>
      <c r="K15" s="60" t="n">
        <f aca="false">IF(K$5="A",Inputs_Actuals!K168,IF(Assumptions!K$98=Assumptions!$F$133,K14-J16,0))</f>
        <v>0</v>
      </c>
      <c r="L15" s="60" t="n">
        <f aca="false">IF(L$5="A",Inputs_Actuals!L168,IF(Assumptions!L$98=Assumptions!$F$133,L14-K16,0))</f>
        <v>0</v>
      </c>
      <c r="M15" s="60" t="n">
        <f aca="false">IF(M$5="A",Inputs_Actuals!M168,IF(Assumptions!M$98=Assumptions!$F$133,M14-L16,0))</f>
        <v>0</v>
      </c>
      <c r="N15" s="60" t="n">
        <f aca="false">IF(N$5="A",Inputs_Actuals!N168,IF(Assumptions!N$98=Assumptions!$F$133,N14-M16,0))</f>
        <v>0</v>
      </c>
      <c r="O15" s="60" t="n">
        <f aca="false">IF(O$5="A",Inputs_Actuals!O168,IF(Assumptions!O$98=Assumptions!$F$133,O14-N16,0))</f>
        <v>-126.127750948603</v>
      </c>
      <c r="P15" s="60" t="n">
        <f aca="false">IF(P$5="A",Inputs_Actuals!P168,IF(Assumptions!P$98=Assumptions!$F$133,P14-O16,0))</f>
        <v>0</v>
      </c>
      <c r="Q15" s="60" t="n">
        <f aca="false">IF(Q$5="A",Inputs_Actuals!Q168,IF(Assumptions!Q$98=Assumptions!$F$133,Q14-P16,0))</f>
        <v>0</v>
      </c>
      <c r="R15" s="60" t="n">
        <f aca="false">IF(R$5="A",Inputs_Actuals!R168,IF(Assumptions!R$98=Assumptions!$F$133,R14-Q16,0))</f>
        <v>0</v>
      </c>
      <c r="S15" s="60" t="n">
        <f aca="false">IF(S$5="A",Inputs_Actuals!S168,IF(Assumptions!S$98=Assumptions!$F$133,S14-R16,0))</f>
        <v>0</v>
      </c>
      <c r="T15" s="60" t="n">
        <f aca="false">IF(T$5="A",Inputs_Actuals!T168,IF(Assumptions!T$98=Assumptions!$F$133,T14-S16,0))</f>
        <v>0</v>
      </c>
      <c r="U15" s="60" t="n">
        <f aca="false">IF(U$5="A",Inputs_Actuals!U168,IF(Assumptions!U$98=Assumptions!$F$133,U14-T16,0))</f>
        <v>0</v>
      </c>
      <c r="V15" s="60" t="n">
        <f aca="false">IF(V$5="A",Inputs_Actuals!V168,IF(Assumptions!V$98=Assumptions!$F$133,V14-U16,0))</f>
        <v>0</v>
      </c>
      <c r="W15" s="60" t="n">
        <f aca="false">IF(W$5="A",Inputs_Actuals!W168,IF(Assumptions!W$98=Assumptions!$F$133,W14-V16,0))</f>
        <v>0</v>
      </c>
      <c r="X15" s="60" t="n">
        <f aca="false">IF(X$5="A",Inputs_Actuals!X168,IF(Assumptions!X$98=Assumptions!$F$133,X14-W16,0))</f>
        <v>0</v>
      </c>
      <c r="Y15" s="60" t="n">
        <f aca="false">IF(Y$5="A",Inputs_Actuals!Y168,IF(Assumptions!Y$98=Assumptions!$F$133,Y14-X16,0))</f>
        <v>0</v>
      </c>
      <c r="Z15" s="60" t="n">
        <f aca="false">IF(Z$5="A",Inputs_Actuals!Z168,IF(Assumptions!Z$98=Assumptions!$F$133,Z14-Y16,0))</f>
        <v>0</v>
      </c>
      <c r="AA15" s="60" t="n">
        <f aca="false">IF(AA$5="A",Inputs_Actuals!AA168,IF(Assumptions!AA$98=Assumptions!$F$133,AA14-Z16,0))</f>
        <v>0</v>
      </c>
      <c r="AB15" s="60" t="n">
        <f aca="false">IF(AB$5="A",Inputs_Actuals!AB168,IF(Assumptions!AB$98=Assumptions!$F$133,AB14-AA16,0))</f>
        <v>0</v>
      </c>
    </row>
    <row r="16" customFormat="false" ht="15" hidden="false" customHeight="false" outlineLevel="0" collapsed="false">
      <c r="A16" s="28" t="s">
        <v>1228</v>
      </c>
      <c r="B16" s="58" t="s">
        <v>1229</v>
      </c>
      <c r="C16" s="59" t="n">
        <f aca="false">P16</f>
        <v>0</v>
      </c>
      <c r="D16" s="59" t="n">
        <f aca="false">AB16</f>
        <v>0</v>
      </c>
      <c r="E16" s="71" t="n">
        <f aca="false">0+E15-E14</f>
        <v>0</v>
      </c>
      <c r="F16" s="71" t="n">
        <f aca="false">E16+F15-F14</f>
        <v>0</v>
      </c>
      <c r="G16" s="71" t="n">
        <f aca="false">F16+G15-G14</f>
        <v>0</v>
      </c>
      <c r="H16" s="71" t="n">
        <f aca="false">G16+H15-H14</f>
        <v>0</v>
      </c>
      <c r="I16" s="71" t="n">
        <f aca="false">H16+I15-I14</f>
        <v>0</v>
      </c>
      <c r="J16" s="71" t="n">
        <f aca="false">I16+J15-J14</f>
        <v>7240.65</v>
      </c>
      <c r="K16" s="71" t="n">
        <f aca="false">J16+K15-K14</f>
        <v>7240.65</v>
      </c>
      <c r="L16" s="71" t="n">
        <f aca="false">K16+L15-L14</f>
        <v>7240.65</v>
      </c>
      <c r="M16" s="71" t="n">
        <f aca="false">L16+M15-M14</f>
        <v>7240.65</v>
      </c>
      <c r="N16" s="71" t="n">
        <f aca="false">M16+N15-N14</f>
        <v>7240.65</v>
      </c>
      <c r="O16" s="71" t="n">
        <f aca="false">N16+O15-O14</f>
        <v>0</v>
      </c>
      <c r="P16" s="71" t="n">
        <f aca="false">O16+P15-P14</f>
        <v>0</v>
      </c>
      <c r="Q16" s="71" t="n">
        <f aca="false">P16+Q15-Q14</f>
        <v>0</v>
      </c>
      <c r="R16" s="71" t="n">
        <f aca="false">Q16+R15-R14</f>
        <v>0</v>
      </c>
      <c r="S16" s="71" t="n">
        <f aca="false">R16+S15-S14</f>
        <v>0</v>
      </c>
      <c r="T16" s="71" t="n">
        <f aca="false">S16+T15-T14</f>
        <v>0</v>
      </c>
      <c r="U16" s="71" t="n">
        <f aca="false">T16+U15-U14</f>
        <v>0</v>
      </c>
      <c r="V16" s="71" t="n">
        <f aca="false">U16+V15-V14</f>
        <v>0</v>
      </c>
      <c r="W16" s="71" t="n">
        <f aca="false">V16+W15-W14</f>
        <v>0</v>
      </c>
      <c r="X16" s="71" t="n">
        <f aca="false">W16+X15-X14</f>
        <v>0</v>
      </c>
      <c r="Y16" s="71" t="n">
        <f aca="false">X16+Y15-Y14</f>
        <v>0</v>
      </c>
      <c r="Z16" s="71" t="n">
        <f aca="false">Y16+Z15-Z14</f>
        <v>0</v>
      </c>
      <c r="AA16" s="71" t="n">
        <f aca="false">Z16+AA15-AA14</f>
        <v>0</v>
      </c>
      <c r="AB16" s="71" t="n">
        <f aca="false">AA16+AB15-AB14</f>
        <v>0</v>
      </c>
    </row>
    <row r="17" customFormat="false" ht="15" hidden="false" customHeight="false" outlineLevel="0" collapsed="false">
      <c r="A17" s="68" t="s">
        <v>1230</v>
      </c>
      <c r="B17" s="69"/>
      <c r="C17" s="70" t="n">
        <f aca="false">P17</f>
        <v>746044.201855481</v>
      </c>
      <c r="D17" s="70" t="n">
        <f aca="false">AB17</f>
        <v>712579.461517762</v>
      </c>
      <c r="E17" s="70" t="n">
        <f aca="false">E12-E16</f>
        <v>698829.936501559</v>
      </c>
      <c r="F17" s="70" t="n">
        <f aca="false">F12-F16</f>
        <v>520386.602036567</v>
      </c>
      <c r="G17" s="70" t="n">
        <f aca="false">G12-G16</f>
        <v>580461.475679056</v>
      </c>
      <c r="H17" s="70" t="n">
        <f aca="false">H12-H16</f>
        <v>694432.631999395</v>
      </c>
      <c r="I17" s="70" t="n">
        <f aca="false">I12-I16</f>
        <v>601638.54274672</v>
      </c>
      <c r="J17" s="70" t="n">
        <f aca="false">J12-J16</f>
        <v>725543.805194138</v>
      </c>
      <c r="K17" s="70" t="n">
        <f aca="false">K12-K16</f>
        <v>696742.661471203</v>
      </c>
      <c r="L17" s="70" t="n">
        <f aca="false">L12-L16</f>
        <v>599808.501254837</v>
      </c>
      <c r="M17" s="70" t="n">
        <f aca="false">M12-M16</f>
        <v>740559.197338345</v>
      </c>
      <c r="N17" s="70" t="n">
        <f aca="false">N12-N16</f>
        <v>842156.379453653</v>
      </c>
      <c r="O17" s="70" t="n">
        <f aca="false">O12-O16</f>
        <v>826109.183863469</v>
      </c>
      <c r="P17" s="70" t="n">
        <f aca="false">P12-P16</f>
        <v>746044.201855481</v>
      </c>
      <c r="Q17" s="70" t="n">
        <f aca="false">Q12-Q16</f>
        <v>739282.833832739</v>
      </c>
      <c r="R17" s="70" t="n">
        <f aca="false">R12-R16</f>
        <v>588010.830574087</v>
      </c>
      <c r="S17" s="70" t="n">
        <f aca="false">S12-S16</f>
        <v>673746.030957654</v>
      </c>
      <c r="T17" s="70" t="n">
        <f aca="false">T12-T16</f>
        <v>749387.019036319</v>
      </c>
      <c r="U17" s="70" t="n">
        <f aca="false">U12-U16</f>
        <v>688652.420755715</v>
      </c>
      <c r="V17" s="70" t="n">
        <f aca="false">V12-V16</f>
        <v>686019.766109174</v>
      </c>
      <c r="W17" s="70" t="n">
        <f aca="false">W12-W16</f>
        <v>688647.927723385</v>
      </c>
      <c r="X17" s="70" t="n">
        <f aca="false">X12-X16</f>
        <v>622812.27908262</v>
      </c>
      <c r="Y17" s="70" t="n">
        <f aca="false">Y12-Y16</f>
        <v>646595.251030203</v>
      </c>
      <c r="Z17" s="70" t="n">
        <f aca="false">Z12-Z16</f>
        <v>737302.0185679</v>
      </c>
      <c r="AA17" s="70" t="n">
        <f aca="false">AA12-AA16</f>
        <v>709504.938389329</v>
      </c>
      <c r="AB17" s="70" t="n">
        <f aca="false">AB12-AB16</f>
        <v>712579.461517762</v>
      </c>
    </row>
    <row r="18" customFormat="false" ht="15" hidden="false" customHeight="false" outlineLevel="0" collapsed="false">
      <c r="A18" s="22" t="s">
        <v>1231</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row>
    <row r="19" customFormat="false" ht="15" hidden="false" customHeight="false" outlineLevel="0" collapsed="false">
      <c r="A19" s="28" t="s">
        <v>1232</v>
      </c>
      <c r="B19" s="58"/>
      <c r="C19" s="59" t="n">
        <f aca="false">SUM(E19:P19)</f>
        <v>6986226.62837874</v>
      </c>
      <c r="D19" s="59" t="n">
        <f aca="false">SUM(Q19:AB19)</f>
        <v>6946318.48463076</v>
      </c>
      <c r="E19" s="60" t="n">
        <f aca="false">Clients!E503+Clients!E517/FX!E9+Clients!E531/FX!E11</f>
        <v>582000.09017824</v>
      </c>
      <c r="F19" s="60" t="n">
        <f aca="false">Clients!F503+Clients!F517/FX!F9+Clients!F531/FX!F11</f>
        <v>466043.047103212</v>
      </c>
      <c r="G19" s="60" t="n">
        <f aca="false">Clients!G503+Clients!G517/FX!G9+Clients!G531/FX!G11</f>
        <v>495663.838533573</v>
      </c>
      <c r="H19" s="60" t="n">
        <f aca="false">Clients!H503+Clients!H517/FX!H9+Clients!H531/FX!H11</f>
        <v>612860.272171355</v>
      </c>
      <c r="I19" s="60" t="n">
        <f aca="false">Clients!I503+Clients!I517/FX!I9+Clients!I531/FX!I11</f>
        <v>504193.885650794</v>
      </c>
      <c r="J19" s="60" t="n">
        <f aca="false">Clients!J503+Clients!J517/FX!J9+Clients!J531/FX!J11</f>
        <v>607994.922478936</v>
      </c>
      <c r="K19" s="60" t="n">
        <f aca="false">Clients!K503+Clients!K517/FX!K9+Clients!K531/FX!K11</f>
        <v>590224.624857197</v>
      </c>
      <c r="L19" s="60" t="n">
        <f aca="false">Clients!L503+Clients!L517/FX!L9+Clients!L531/FX!L11</f>
        <v>507765.143292246</v>
      </c>
      <c r="M19" s="60" t="n">
        <f aca="false">Clients!M503+Clients!M517/FX!M9+Clients!M531/FX!M11</f>
        <v>641371.133018952</v>
      </c>
      <c r="N19" s="60" t="n">
        <f aca="false">Clients!N503+Clients!N517/FX!N9+Clients!N531/FX!N11</f>
        <v>708702.105766077</v>
      </c>
      <c r="O19" s="60" t="n">
        <f aca="false">Clients!O503+Clients!O517/FX!O9+Clients!O531/FX!O11</f>
        <v>690265.775300307</v>
      </c>
      <c r="P19" s="60" t="n">
        <f aca="false">Clients!P503+Clients!P517/FX!P9+Clients!P531/FX!P11</f>
        <v>579141.790027846</v>
      </c>
      <c r="Q19" s="60" t="n">
        <f aca="false">Clients!Q503+Clients!Q517/FX!Q9+Clients!Q531/FX!Q11</f>
        <v>602273.397080252</v>
      </c>
      <c r="R19" s="60" t="n">
        <f aca="false">Clients!R503+Clients!R517/FX!R9+Clients!R531/FX!R11</f>
        <v>498649.983819491</v>
      </c>
      <c r="S19" s="60" t="n">
        <f aca="false">Clients!S503+Clients!S517/FX!S9+Clients!S531/FX!S11</f>
        <v>552575.780625722</v>
      </c>
      <c r="T19" s="60" t="n">
        <f aca="false">Clients!T503+Clients!T517/FX!T9+Clients!T531/FX!T11</f>
        <v>651228.288250012</v>
      </c>
      <c r="U19" s="60" t="n">
        <f aca="false">Clients!U503+Clients!U517/FX!U9+Clients!U531/FX!U11</f>
        <v>575514.232500876</v>
      </c>
      <c r="V19" s="60" t="n">
        <f aca="false">Clients!V503+Clients!V517/FX!V9+Clients!V531/FX!V11</f>
        <v>560632.598569748</v>
      </c>
      <c r="W19" s="60" t="n">
        <f aca="false">Clients!W503+Clients!W517/FX!W9+Clients!W531/FX!W11</f>
        <v>583931.962385425</v>
      </c>
      <c r="X19" s="60" t="n">
        <f aca="false">Clients!X503+Clients!X517/FX!X9+Clients!X531/FX!X11</f>
        <v>535279.164978573</v>
      </c>
      <c r="Y19" s="60" t="n">
        <f aca="false">Clients!Y503+Clients!Y517/FX!Y9+Clients!Y531/FX!Y11</f>
        <v>542603.716289853</v>
      </c>
      <c r="Z19" s="60" t="n">
        <f aca="false">Clients!Z503+Clients!Z517/FX!Z9+Clients!Z531/FX!Z11</f>
        <v>642901.8264997</v>
      </c>
      <c r="AA19" s="60" t="n">
        <f aca="false">Clients!AA503+Clients!AA517/FX!AA9+Clients!AA531/FX!AA11</f>
        <v>609898.326049838</v>
      </c>
      <c r="AB19" s="60" t="n">
        <f aca="false">Clients!AB503+Clients!AB517/FX!AB9+Clients!AB531/FX!AB11</f>
        <v>590829.207581273</v>
      </c>
    </row>
    <row r="20" customFormat="false" ht="15" hidden="false" customHeight="false" outlineLevel="0" collapsed="false">
      <c r="A20" s="28" t="s">
        <v>1233</v>
      </c>
      <c r="B20" s="58" t="s">
        <v>61</v>
      </c>
      <c r="C20" s="59" t="n">
        <f aca="false">SUM(E20:P20)</f>
        <v>6808361.52508717</v>
      </c>
      <c r="D20" s="59" t="n">
        <f aca="false">SUM(Q20:AB20)</f>
        <v>6979783.22496848</v>
      </c>
      <c r="E20" s="60" t="n">
        <f aca="false">FX!E70</f>
        <v>450108.264452003</v>
      </c>
      <c r="F20" s="60" t="n">
        <f aca="false">FX!F70</f>
        <v>643490.284309204</v>
      </c>
      <c r="G20" s="60" t="n">
        <f aca="false">FX!G70</f>
        <v>442682.576072703</v>
      </c>
      <c r="H20" s="60" t="n">
        <f aca="false">FX!H70</f>
        <v>496148.687372048</v>
      </c>
      <c r="I20" s="60" t="n">
        <f aca="false">FX!I70</f>
        <v>597758.216082009</v>
      </c>
      <c r="J20" s="60" t="n">
        <f aca="false">FX!J70</f>
        <v>484125.690290456</v>
      </c>
      <c r="K20" s="60" t="n">
        <f aca="false">FX!K70</f>
        <v>618579.131574496</v>
      </c>
      <c r="L20" s="60" t="n">
        <f aca="false">FX!L70</f>
        <v>602097.443670763</v>
      </c>
      <c r="M20" s="60" t="n">
        <f aca="false">FX!M70</f>
        <v>500620.436935444</v>
      </c>
      <c r="N20" s="60" t="n">
        <f aca="false">FX!N70</f>
        <v>607104.92365077</v>
      </c>
      <c r="O20" s="60" t="n">
        <f aca="false">FX!O70</f>
        <v>706439.09864144</v>
      </c>
      <c r="P20" s="60" t="n">
        <f aca="false">FX!P70</f>
        <v>659206.772035834</v>
      </c>
      <c r="Q20" s="60" t="n">
        <f aca="false">FX!Q70</f>
        <v>609034.765102994</v>
      </c>
      <c r="R20" s="60" t="n">
        <f aca="false">FX!R70</f>
        <v>649921.987078143</v>
      </c>
      <c r="S20" s="60" t="n">
        <f aca="false">FX!S70</f>
        <v>466840.580242156</v>
      </c>
      <c r="T20" s="60" t="n">
        <f aca="false">FX!T70</f>
        <v>575587.300171347</v>
      </c>
      <c r="U20" s="60" t="n">
        <f aca="false">FX!U70</f>
        <v>636248.83078148</v>
      </c>
      <c r="V20" s="60" t="n">
        <f aca="false">FX!V70</f>
        <v>563265.25321629</v>
      </c>
      <c r="W20" s="60" t="n">
        <f aca="false">FX!W70</f>
        <v>581303.800771214</v>
      </c>
      <c r="X20" s="60" t="n">
        <f aca="false">FX!X70</f>
        <v>601114.813619338</v>
      </c>
      <c r="Y20" s="60" t="n">
        <f aca="false">FX!Y70</f>
        <v>518820.744342271</v>
      </c>
      <c r="Z20" s="60" t="n">
        <f aca="false">FX!Z70</f>
        <v>552195.058962002</v>
      </c>
      <c r="AA20" s="60" t="n">
        <f aca="false">FX!AA70</f>
        <v>637695.406228409</v>
      </c>
      <c r="AB20" s="60" t="n">
        <f aca="false">FX!AB70</f>
        <v>587754.68445284</v>
      </c>
    </row>
    <row r="21" customFormat="false" ht="15" hidden="false" customHeight="false" outlineLevel="0" collapsed="false">
      <c r="A21" s="28" t="s">
        <v>1234</v>
      </c>
      <c r="B21" s="58"/>
      <c r="C21" s="66" t="n">
        <f aca="false">P21</f>
        <v>34.3960864270901</v>
      </c>
      <c r="D21" s="66" t="n">
        <f aca="false">AB21</f>
        <v>35.2496267936462</v>
      </c>
      <c r="E21" s="72" t="n">
        <f aca="false">IFERROR(E12/AVERAGE(E19:E19)*30.4,0)</f>
        <v>36.5024515084546</v>
      </c>
      <c r="F21" s="72" t="n">
        <f aca="false">IFERROR(F12/AVERAGE(E19:F19)*30.4,0)</f>
        <v>30.1891251212177</v>
      </c>
      <c r="G21" s="72" t="n">
        <f aca="false">IFERROR(G12/AVERAGE(E19:G19)*30.4,0)</f>
        <v>34.2928336862509</v>
      </c>
      <c r="H21" s="72" t="n">
        <f aca="false">IFERROR(H12/AVERAGE(F19:H19)*30.4,0)</f>
        <v>40.2220100452913</v>
      </c>
      <c r="I21" s="72" t="n">
        <f aca="false">IFERROR(I12/AVERAGE(G19:I19)*30.4,0)</f>
        <v>34.0229570343296</v>
      </c>
      <c r="J21" s="72" t="n">
        <f aca="false">IFERROR(J12/AVERAGE(H19:J19)*30.4,0)</f>
        <v>38.7408932747821</v>
      </c>
      <c r="K21" s="72" t="n">
        <f aca="false">IFERROR(K12/AVERAGE(I19:K19)*30.4,0)</f>
        <v>37.7130941063637</v>
      </c>
      <c r="L21" s="72" t="n">
        <f aca="false">IFERROR(L12/AVERAGE(J19:L19)*30.4,0)</f>
        <v>32.4521567506265</v>
      </c>
      <c r="M21" s="72" t="n">
        <f aca="false">IFERROR(M12/AVERAGE(K19:M19)*30.4,0)</f>
        <v>39.2094280327015</v>
      </c>
      <c r="N21" s="72" t="n">
        <f aca="false">IFERROR(N12/AVERAGE(L19:N19)*30.4,0)</f>
        <v>41.6963121407571</v>
      </c>
      <c r="O21" s="72" t="n">
        <f aca="false">IFERROR(O12/AVERAGE(M19:O19)*30.4,0)</f>
        <v>36.9258035298232</v>
      </c>
      <c r="P21" s="72" t="n">
        <f aca="false">IFERROR(P12/AVERAGE(N19:P19)*30.4,0)</f>
        <v>34.3960864270901</v>
      </c>
      <c r="Q21" s="72" t="n">
        <f aca="false">IFERROR(Q12/AVERAGE(O19:Q19)*30.4,0)</f>
        <v>36.0224823566026</v>
      </c>
      <c r="R21" s="72" t="n">
        <f aca="false">IFERROR(R12/AVERAGE(P19:R19)*30.4,0)</f>
        <v>31.9193497230519</v>
      </c>
      <c r="S21" s="72" t="n">
        <f aca="false">IFERROR(S12/AVERAGE(Q19:S19)*30.4,0)</f>
        <v>37.1609731973799</v>
      </c>
      <c r="T21" s="72" t="n">
        <f aca="false">IFERROR(T12/AVERAGE(R19:T19)*30.4,0)</f>
        <v>40.1444585408422</v>
      </c>
      <c r="U21" s="72" t="n">
        <f aca="false">IFERROR(U12/AVERAGE(S19:U19)*30.4,0)</f>
        <v>35.2972825178781</v>
      </c>
      <c r="V21" s="72" t="n">
        <f aca="false">IFERROR(V12/AVERAGE(T19:V19)*30.4,0)</f>
        <v>35.0038455793974</v>
      </c>
      <c r="W21" s="72" t="n">
        <f aca="false">IFERROR(W12/AVERAGE(U19:W19)*30.4,0)</f>
        <v>36.5126825860012</v>
      </c>
      <c r="X21" s="72" t="n">
        <f aca="false">IFERROR(X12/AVERAGE(V19:X19)*30.4,0)</f>
        <v>33.8129547263465</v>
      </c>
      <c r="Y21" s="72" t="n">
        <f aca="false">IFERROR(Y12/AVERAGE(W19:Y19)*30.4,0)</f>
        <v>35.4849922776581</v>
      </c>
      <c r="Z21" s="72" t="n">
        <f aca="false">IFERROR(Z12/AVERAGE(X19:Z19)*30.4,0)</f>
        <v>39.0763259284224</v>
      </c>
      <c r="AA21" s="72" t="n">
        <f aca="false">IFERROR(AA12/AVERAGE(Y19:AA19)*30.4,0)</f>
        <v>36.0402756750967</v>
      </c>
      <c r="AB21" s="72" t="n">
        <f aca="false">IFERROR(AB12/AVERAGE(Z19:AB19)*30.4,0)</f>
        <v>35.2496267936462</v>
      </c>
    </row>
    <row r="22" customFormat="false" ht="15" hidden="false" customHeight="false" outlineLevel="0" collapsed="false">
      <c r="A22" s="28" t="s">
        <v>1235</v>
      </c>
      <c r="B22" s="58" t="s">
        <v>46</v>
      </c>
      <c r="C22" s="59" t="n">
        <f aca="false">P22</f>
        <v>0</v>
      </c>
      <c r="D22" s="59" t="n">
        <f aca="false">AB22</f>
        <v>0</v>
      </c>
      <c r="E22" s="60" t="n">
        <f aca="false">Clients!E222/FX!E12</f>
        <v>0</v>
      </c>
      <c r="F22" s="60" t="n">
        <f aca="false">Clients!F222/FX!F12</f>
        <v>0</v>
      </c>
      <c r="G22" s="60" t="n">
        <f aca="false">Clients!G222/FX!G12</f>
        <v>0</v>
      </c>
      <c r="H22" s="60" t="n">
        <f aca="false">Clients!H222/FX!H12</f>
        <v>0</v>
      </c>
      <c r="I22" s="60" t="n">
        <f aca="false">Clients!I222/FX!I12</f>
        <v>14170.3881827551</v>
      </c>
      <c r="J22" s="60" t="n">
        <f aca="false">Clients!J222/FX!J12</f>
        <v>14481.3059505003</v>
      </c>
      <c r="K22" s="60" t="n">
        <f aca="false">Clients!K222/FX!K12</f>
        <v>14366.5650848933</v>
      </c>
      <c r="L22" s="60" t="n">
        <f aca="false">Clients!L222/FX!L12</f>
        <v>14229.0444981028</v>
      </c>
      <c r="M22" s="60" t="n">
        <f aca="false">Clients!M222/FX!M12</f>
        <v>14229.0444981028</v>
      </c>
      <c r="N22" s="60" t="n">
        <f aca="false">Clients!N222/FX!N12</f>
        <v>14229.0444981028</v>
      </c>
      <c r="O22" s="60" t="n">
        <f aca="false">Clients!O222/FX!O12</f>
        <v>0</v>
      </c>
      <c r="P22" s="60" t="n">
        <f aca="false">Clients!P222/FX!P12</f>
        <v>0</v>
      </c>
      <c r="Q22" s="60" t="n">
        <f aca="false">Clients!Q222/FX!Q12</f>
        <v>0</v>
      </c>
      <c r="R22" s="60" t="n">
        <f aca="false">Clients!R222/FX!R12</f>
        <v>0</v>
      </c>
      <c r="S22" s="60" t="n">
        <f aca="false">Clients!S222/FX!S12</f>
        <v>0</v>
      </c>
      <c r="T22" s="60" t="n">
        <f aca="false">Clients!T222/FX!T12</f>
        <v>0</v>
      </c>
      <c r="U22" s="60" t="n">
        <f aca="false">Clients!U222/FX!U12</f>
        <v>0</v>
      </c>
      <c r="V22" s="60" t="n">
        <f aca="false">Clients!V222/FX!V12</f>
        <v>0</v>
      </c>
      <c r="W22" s="60" t="n">
        <f aca="false">Clients!W222/FX!W12</f>
        <v>0</v>
      </c>
      <c r="X22" s="60" t="n">
        <f aca="false">Clients!X222/FX!X12</f>
        <v>0</v>
      </c>
      <c r="Y22" s="60" t="n">
        <f aca="false">Clients!Y222/FX!Y12</f>
        <v>0</v>
      </c>
      <c r="Z22" s="60" t="n">
        <f aca="false">Clients!Z222/FX!Z12</f>
        <v>0</v>
      </c>
      <c r="AA22" s="60" t="n">
        <f aca="false">Clients!AA222/FX!AA12</f>
        <v>0</v>
      </c>
      <c r="AB22" s="60" t="n">
        <f aca="false">Clients!AB222/FX!AB12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44"/>
    <col collapsed="false" customWidth="true" hidden="false" outlineLevel="0" max="3" min="3" style="0" width="9"/>
    <col collapsed="false" customWidth="true" hidden="false" outlineLevel="0" max="5" min="4" style="0" width="13"/>
    <col collapsed="false" customWidth="true" hidden="false" outlineLevel="0" max="6" min="6" style="0" width="9"/>
    <col collapsed="false" customWidth="true" hidden="false" outlineLevel="0" max="7" min="7" style="0" width="13"/>
    <col collapsed="false" customWidth="true" hidden="false" outlineLevel="0" max="8" min="8" style="0" width="11"/>
    <col collapsed="false" customWidth="true" hidden="false" outlineLevel="0" max="9" min="9" style="0" width="8"/>
    <col collapsed="false" customWidth="true" hidden="false" outlineLevel="0" max="14" min="10" style="0" width="12"/>
    <col collapsed="false" customWidth="true" hidden="false" outlineLevel="0" max="15" min="15" style="0" width="54"/>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1236</v>
      </c>
    </row>
    <row r="3" customFormat="false" ht="15" hidden="false" customHeight="false" outlineLevel="0" collapsed="false">
      <c r="A3" s="25" t="s">
        <v>1237</v>
      </c>
    </row>
    <row r="4" customFormat="false" ht="15" hidden="false" customHeight="false" outlineLevel="0" collapsed="false">
      <c r="A4" s="0" t="s">
        <v>1238</v>
      </c>
      <c r="B4" s="124" t="n">
        <f aca="false">Assumptions!$C$15</f>
        <v>46265</v>
      </c>
      <c r="D4" s="5" t="s">
        <v>1239</v>
      </c>
      <c r="F4" s="5" t="s">
        <v>663</v>
      </c>
      <c r="G4" s="125" t="n">
        <f aca="false">INDEX(FX!$E$10:$AB$10,Assumptions!$C$10)</f>
        <v>0.85648</v>
      </c>
      <c r="H4" s="5" t="s">
        <v>672</v>
      </c>
      <c r="I4" s="125" t="n">
        <f aca="false">INDEX(FX!$E$12:$AB$12,Assumptions!$C$10)</f>
        <v>1.1596</v>
      </c>
    </row>
    <row r="6" customFormat="false" ht="30" hidden="false" customHeight="true" outlineLevel="0" collapsed="false">
      <c r="A6" s="26" t="s">
        <v>1240</v>
      </c>
      <c r="B6" s="27" t="s">
        <v>1241</v>
      </c>
      <c r="C6" s="27" t="s">
        <v>5</v>
      </c>
      <c r="D6" s="27" t="s">
        <v>1242</v>
      </c>
      <c r="E6" s="27" t="s">
        <v>1243</v>
      </c>
      <c r="F6" s="27" t="s">
        <v>1244</v>
      </c>
      <c r="G6" s="27" t="s">
        <v>1245</v>
      </c>
      <c r="H6" s="27" t="s">
        <v>1246</v>
      </c>
      <c r="I6" s="27" t="s">
        <v>1247</v>
      </c>
      <c r="J6" s="27" t="s">
        <v>1248</v>
      </c>
      <c r="K6" s="27" t="s">
        <v>1249</v>
      </c>
      <c r="L6" s="27" t="s">
        <v>1250</v>
      </c>
      <c r="M6" s="27" t="s">
        <v>1251</v>
      </c>
      <c r="N6" s="27" t="s">
        <v>1252</v>
      </c>
      <c r="O6" s="27" t="s">
        <v>1253</v>
      </c>
    </row>
    <row r="7" customFormat="false" ht="15" hidden="false" customHeight="false" outlineLevel="0" collapsed="false">
      <c r="A7" s="15" t="s">
        <v>662</v>
      </c>
      <c r="B7" s="15" t="s">
        <v>1254</v>
      </c>
      <c r="C7" s="15" t="s">
        <v>663</v>
      </c>
      <c r="D7" s="15" t="s">
        <v>1221</v>
      </c>
      <c r="E7" s="126" t="n">
        <v>32060.46</v>
      </c>
      <c r="F7" s="88" t="n">
        <f aca="false">IF(C7="GBP",$G$4,IF(C7="USD",$I$4,1))</f>
        <v>0.85648</v>
      </c>
      <c r="G7" s="32" t="n">
        <f aca="false">E7/F7</f>
        <v>37432.8180459555</v>
      </c>
      <c r="H7" s="127" t="n">
        <v>46300</v>
      </c>
      <c r="I7" s="128" t="n">
        <f aca="false">MAX(0,$B$4-H7)</f>
        <v>0</v>
      </c>
      <c r="J7" s="29" t="n">
        <f aca="false">IF(H7&gt;=$B$4,G7,0)</f>
        <v>37432.8180459555</v>
      </c>
      <c r="K7" s="29" t="n">
        <f aca="false">IF(AND(I7&gt;=1,I7&lt;=30),G7,0)</f>
        <v>0</v>
      </c>
      <c r="L7" s="29" t="n">
        <f aca="false">IF(AND(I7&gt;30,I7&lt;=60),G7,0)</f>
        <v>0</v>
      </c>
      <c r="M7" s="29" t="n">
        <f aca="false">IF(AND(I7&gt;60,I7&lt;=90),G7,0)</f>
        <v>0</v>
      </c>
      <c r="N7" s="29" t="n">
        <f aca="false">IF(I7&gt;90,G7,0)</f>
        <v>0</v>
      </c>
      <c r="O7" s="46" t="s">
        <v>1255</v>
      </c>
    </row>
    <row r="8" customFormat="false" ht="15" hidden="false" customHeight="false" outlineLevel="0" collapsed="false">
      <c r="A8" s="15" t="s">
        <v>662</v>
      </c>
      <c r="B8" s="15" t="s">
        <v>1256</v>
      </c>
      <c r="C8" s="15" t="s">
        <v>663</v>
      </c>
      <c r="D8" s="15" t="s">
        <v>1221</v>
      </c>
      <c r="E8" s="126" t="n">
        <v>19649.96</v>
      </c>
      <c r="F8" s="88" t="n">
        <f aca="false">IF(C8="GBP",$G$4,IF(C8="USD",$I$4,1))</f>
        <v>0.85648</v>
      </c>
      <c r="G8" s="32" t="n">
        <f aca="false">E8/F8</f>
        <v>22942.6956846628</v>
      </c>
      <c r="H8" s="127" t="n">
        <v>46269</v>
      </c>
      <c r="I8" s="128" t="n">
        <f aca="false">MAX(0,$B$4-H8)</f>
        <v>0</v>
      </c>
      <c r="J8" s="29" t="n">
        <f aca="false">IF(H8&gt;=$B$4,G8,0)</f>
        <v>22942.6956846628</v>
      </c>
      <c r="K8" s="29" t="n">
        <f aca="false">IF(AND(I8&gt;=1,I8&lt;=30),G8,0)</f>
        <v>0</v>
      </c>
      <c r="L8" s="29" t="n">
        <f aca="false">IF(AND(I8&gt;30,I8&lt;=60),G8,0)</f>
        <v>0</v>
      </c>
      <c r="M8" s="29" t="n">
        <f aca="false">IF(AND(I8&gt;60,I8&lt;=90),G8,0)</f>
        <v>0</v>
      </c>
      <c r="N8" s="29" t="n">
        <f aca="false">IF(I8&gt;90,G8,0)</f>
        <v>0</v>
      </c>
      <c r="O8" s="46" t="s">
        <v>1257</v>
      </c>
    </row>
    <row r="9" customFormat="false" ht="15" hidden="false" customHeight="false" outlineLevel="0" collapsed="false">
      <c r="A9" s="15" t="s">
        <v>665</v>
      </c>
      <c r="B9" s="15" t="s">
        <v>1258</v>
      </c>
      <c r="C9" s="15" t="s">
        <v>663</v>
      </c>
      <c r="D9" s="15" t="s">
        <v>1221</v>
      </c>
      <c r="E9" s="126" t="n">
        <v>44357.14</v>
      </c>
      <c r="F9" s="88" t="n">
        <f aca="false">IF(C9="GBP",$G$4,IF(C9="USD",$I$4,1))</f>
        <v>0.85648</v>
      </c>
      <c r="G9" s="32" t="n">
        <f aca="false">E9/F9</f>
        <v>51790.0476368392</v>
      </c>
      <c r="H9" s="127" t="n">
        <v>46295</v>
      </c>
      <c r="I9" s="128" t="n">
        <f aca="false">MAX(0,$B$4-H9)</f>
        <v>0</v>
      </c>
      <c r="J9" s="29" t="n">
        <f aca="false">IF(H9&gt;=$B$4,G9,0)</f>
        <v>51790.0476368392</v>
      </c>
      <c r="K9" s="29" t="n">
        <f aca="false">IF(AND(I9&gt;=1,I9&lt;=30),G9,0)</f>
        <v>0</v>
      </c>
      <c r="L9" s="29" t="n">
        <f aca="false">IF(AND(I9&gt;30,I9&lt;=60),G9,0)</f>
        <v>0</v>
      </c>
      <c r="M9" s="29" t="n">
        <f aca="false">IF(AND(I9&gt;60,I9&lt;=90),G9,0)</f>
        <v>0</v>
      </c>
      <c r="N9" s="29" t="n">
        <f aca="false">IF(I9&gt;90,G9,0)</f>
        <v>0</v>
      </c>
      <c r="O9" s="46" t="s">
        <v>1259</v>
      </c>
    </row>
    <row r="10" customFormat="false" ht="22.35" hidden="false" customHeight="false" outlineLevel="0" collapsed="false">
      <c r="A10" s="15" t="s">
        <v>665</v>
      </c>
      <c r="B10" s="15" t="s">
        <v>1260</v>
      </c>
      <c r="C10" s="15" t="s">
        <v>663</v>
      </c>
      <c r="D10" s="15" t="s">
        <v>1221</v>
      </c>
      <c r="E10" s="126" t="n">
        <v>14785.71</v>
      </c>
      <c r="F10" s="88" t="n">
        <f aca="false">IF(C10="GBP",$G$4,IF(C10="USD",$I$4,1))</f>
        <v>0.85648</v>
      </c>
      <c r="G10" s="32" t="n">
        <f aca="false">E10/F10</f>
        <v>17263.3453203811</v>
      </c>
      <c r="H10" s="127" t="n">
        <v>46264</v>
      </c>
      <c r="I10" s="128" t="n">
        <f aca="false">MAX(0,$B$4-H10)</f>
        <v>1</v>
      </c>
      <c r="J10" s="29" t="n">
        <f aca="false">IF(H10&gt;=$B$4,G10,0)</f>
        <v>0</v>
      </c>
      <c r="K10" s="29" t="n">
        <f aca="false">IF(AND(I10&gt;=1,I10&lt;=30),G10,0)</f>
        <v>17263.3453203811</v>
      </c>
      <c r="L10" s="29" t="n">
        <f aca="false">IF(AND(I10&gt;30,I10&lt;=60),G10,0)</f>
        <v>0</v>
      </c>
      <c r="M10" s="29" t="n">
        <f aca="false">IF(AND(I10&gt;60,I10&lt;=90),G10,0)</f>
        <v>0</v>
      </c>
      <c r="N10" s="29" t="n">
        <f aca="false">IF(I10&gt;90,G10,0)</f>
        <v>0</v>
      </c>
      <c r="O10" s="46" t="s">
        <v>1261</v>
      </c>
    </row>
    <row r="11" customFormat="false" ht="15" hidden="false" customHeight="false" outlineLevel="0" collapsed="false">
      <c r="A11" s="15" t="s">
        <v>666</v>
      </c>
      <c r="B11" s="15" t="s">
        <v>1262</v>
      </c>
      <c r="C11" s="15" t="s">
        <v>663</v>
      </c>
      <c r="D11" s="15" t="s">
        <v>1221</v>
      </c>
      <c r="E11" s="126" t="n">
        <v>12669.08</v>
      </c>
      <c r="F11" s="88" t="n">
        <f aca="false">IF(C11="GBP",$G$4,IF(C11="USD",$I$4,1))</f>
        <v>0.85648</v>
      </c>
      <c r="G11" s="32" t="n">
        <f aca="false">E11/F11</f>
        <v>14792.0325051373</v>
      </c>
      <c r="H11" s="127" t="n">
        <v>46295</v>
      </c>
      <c r="I11" s="128" t="n">
        <f aca="false">MAX(0,$B$4-H11)</f>
        <v>0</v>
      </c>
      <c r="J11" s="29" t="n">
        <f aca="false">IF(H11&gt;=$B$4,G11,0)</f>
        <v>14792.0325051373</v>
      </c>
      <c r="K11" s="29" t="n">
        <f aca="false">IF(AND(I11&gt;=1,I11&lt;=30),G11,0)</f>
        <v>0</v>
      </c>
      <c r="L11" s="29" t="n">
        <f aca="false">IF(AND(I11&gt;30,I11&lt;=60),G11,0)</f>
        <v>0</v>
      </c>
      <c r="M11" s="29" t="n">
        <f aca="false">IF(AND(I11&gt;60,I11&lt;=90),G11,0)</f>
        <v>0</v>
      </c>
      <c r="N11" s="29" t="n">
        <f aca="false">IF(I11&gt;90,G11,0)</f>
        <v>0</v>
      </c>
      <c r="O11" s="46" t="s">
        <v>1263</v>
      </c>
    </row>
    <row r="12" customFormat="false" ht="15" hidden="false" customHeight="false" outlineLevel="0" collapsed="false">
      <c r="A12" s="15" t="s">
        <v>667</v>
      </c>
      <c r="B12" s="15" t="s">
        <v>1264</v>
      </c>
      <c r="C12" s="15" t="s">
        <v>663</v>
      </c>
      <c r="D12" s="15" t="s">
        <v>1221</v>
      </c>
      <c r="E12" s="126" t="n">
        <v>13334.68</v>
      </c>
      <c r="F12" s="88" t="n">
        <f aca="false">IF(C12="GBP",$G$4,IF(C12="USD",$I$4,1))</f>
        <v>0.85648</v>
      </c>
      <c r="G12" s="32" t="n">
        <f aca="false">E12/F12</f>
        <v>15569.1668223426</v>
      </c>
      <c r="H12" s="127" t="n">
        <v>46310</v>
      </c>
      <c r="I12" s="128" t="n">
        <f aca="false">MAX(0,$B$4-H12)</f>
        <v>0</v>
      </c>
      <c r="J12" s="29" t="n">
        <f aca="false">IF(H12&gt;=$B$4,G12,0)</f>
        <v>15569.1668223426</v>
      </c>
      <c r="K12" s="29" t="n">
        <f aca="false">IF(AND(I12&gt;=1,I12&lt;=30),G12,0)</f>
        <v>0</v>
      </c>
      <c r="L12" s="29" t="n">
        <f aca="false">IF(AND(I12&gt;30,I12&lt;=60),G12,0)</f>
        <v>0</v>
      </c>
      <c r="M12" s="29" t="n">
        <f aca="false">IF(AND(I12&gt;60,I12&lt;=90),G12,0)</f>
        <v>0</v>
      </c>
      <c r="N12" s="29" t="n">
        <f aca="false">IF(I12&gt;90,G12,0)</f>
        <v>0</v>
      </c>
      <c r="O12" s="46" t="s">
        <v>1265</v>
      </c>
    </row>
    <row r="13" customFormat="false" ht="15" hidden="false" customHeight="false" outlineLevel="0" collapsed="false">
      <c r="A13" s="15" t="s">
        <v>667</v>
      </c>
      <c r="B13" s="15" t="s">
        <v>1266</v>
      </c>
      <c r="C13" s="15" t="s">
        <v>663</v>
      </c>
      <c r="D13" s="15" t="s">
        <v>1221</v>
      </c>
      <c r="E13" s="126" t="n">
        <v>10910.2</v>
      </c>
      <c r="F13" s="88" t="n">
        <f aca="false">IF(C13="GBP",$G$4,IF(C13="USD",$I$4,1))</f>
        <v>0.85648</v>
      </c>
      <c r="G13" s="32" t="n">
        <f aca="false">E13/F13</f>
        <v>12738.4177096955</v>
      </c>
      <c r="H13" s="127" t="n">
        <v>46280</v>
      </c>
      <c r="I13" s="128" t="n">
        <f aca="false">MAX(0,$B$4-H13)</f>
        <v>0</v>
      </c>
      <c r="J13" s="29" t="n">
        <f aca="false">IF(H13&gt;=$B$4,G13,0)</f>
        <v>12738.4177096955</v>
      </c>
      <c r="K13" s="29" t="n">
        <f aca="false">IF(AND(I13&gt;=1,I13&lt;=30),G13,0)</f>
        <v>0</v>
      </c>
      <c r="L13" s="29" t="n">
        <f aca="false">IF(AND(I13&gt;30,I13&lt;=60),G13,0)</f>
        <v>0</v>
      </c>
      <c r="M13" s="29" t="n">
        <f aca="false">IF(AND(I13&gt;60,I13&lt;=90),G13,0)</f>
        <v>0</v>
      </c>
      <c r="N13" s="29" t="n">
        <f aca="false">IF(I13&gt;90,G13,0)</f>
        <v>0</v>
      </c>
      <c r="O13" s="46" t="s">
        <v>1265</v>
      </c>
    </row>
    <row r="14" customFormat="false" ht="15" hidden="false" customHeight="false" outlineLevel="0" collapsed="false">
      <c r="A14" s="15" t="s">
        <v>669</v>
      </c>
      <c r="B14" s="15" t="s">
        <v>1262</v>
      </c>
      <c r="C14" s="15" t="s">
        <v>663</v>
      </c>
      <c r="D14" s="15" t="s">
        <v>1221</v>
      </c>
      <c r="E14" s="126" t="n">
        <v>17702.08</v>
      </c>
      <c r="F14" s="88" t="n">
        <f aca="false">IF(C14="GBP",$G$4,IF(C14="USD",$I$4,1))</f>
        <v>0.85648</v>
      </c>
      <c r="G14" s="32" t="n">
        <f aca="false">E14/F14</f>
        <v>20668.4102372501</v>
      </c>
      <c r="H14" s="127" t="n">
        <v>46295</v>
      </c>
      <c r="I14" s="128" t="n">
        <f aca="false">MAX(0,$B$4-H14)</f>
        <v>0</v>
      </c>
      <c r="J14" s="29" t="n">
        <f aca="false">IF(H14&gt;=$B$4,G14,0)</f>
        <v>20668.4102372501</v>
      </c>
      <c r="K14" s="29" t="n">
        <f aca="false">IF(AND(I14&gt;=1,I14&lt;=30),G14,0)</f>
        <v>0</v>
      </c>
      <c r="L14" s="29" t="n">
        <f aca="false">IF(AND(I14&gt;30,I14&lt;=60),G14,0)</f>
        <v>0</v>
      </c>
      <c r="M14" s="29" t="n">
        <f aca="false">IF(AND(I14&gt;60,I14&lt;=90),G14,0)</f>
        <v>0</v>
      </c>
      <c r="N14" s="29" t="n">
        <f aca="false">IF(I14&gt;90,G14,0)</f>
        <v>0</v>
      </c>
      <c r="O14" s="46" t="s">
        <v>1263</v>
      </c>
    </row>
    <row r="15" customFormat="false" ht="15" hidden="false" customHeight="false" outlineLevel="0" collapsed="false">
      <c r="A15" s="15" t="s">
        <v>677</v>
      </c>
      <c r="B15" s="15" t="s">
        <v>1267</v>
      </c>
      <c r="C15" s="15" t="s">
        <v>524</v>
      </c>
      <c r="D15" s="15" t="s">
        <v>605</v>
      </c>
      <c r="E15" s="126" t="n">
        <v>37007.38</v>
      </c>
      <c r="F15" s="88" t="n">
        <f aca="false">IF(C15="GBP",$G$4,IF(C15="USD",$I$4,1))</f>
        <v>1</v>
      </c>
      <c r="G15" s="32" t="n">
        <f aca="false">E15/F15</f>
        <v>37007.38</v>
      </c>
      <c r="H15" s="127" t="n">
        <v>46295</v>
      </c>
      <c r="I15" s="128" t="n">
        <f aca="false">MAX(0,$B$4-H15)</f>
        <v>0</v>
      </c>
      <c r="J15" s="29" t="n">
        <f aca="false">IF(H15&gt;=$B$4,G15,0)</f>
        <v>37007.38</v>
      </c>
      <c r="K15" s="29" t="n">
        <f aca="false">IF(AND(I15&gt;=1,I15&lt;=30),G15,0)</f>
        <v>0</v>
      </c>
      <c r="L15" s="29" t="n">
        <f aca="false">IF(AND(I15&gt;30,I15&lt;=60),G15,0)</f>
        <v>0</v>
      </c>
      <c r="M15" s="29" t="n">
        <f aca="false">IF(AND(I15&gt;60,I15&lt;=90),G15,0)</f>
        <v>0</v>
      </c>
      <c r="N15" s="29" t="n">
        <f aca="false">IF(I15&gt;90,G15,0)</f>
        <v>0</v>
      </c>
      <c r="O15" s="46" t="s">
        <v>1268</v>
      </c>
    </row>
    <row r="16" customFormat="false" ht="15" hidden="false" customHeight="false" outlineLevel="0" collapsed="false">
      <c r="A16" s="15" t="s">
        <v>670</v>
      </c>
      <c r="B16" s="15" t="s">
        <v>1269</v>
      </c>
      <c r="C16" s="15" t="s">
        <v>663</v>
      </c>
      <c r="D16" s="15" t="s">
        <v>1221</v>
      </c>
      <c r="E16" s="126" t="n">
        <v>5228.71</v>
      </c>
      <c r="F16" s="88" t="n">
        <f aca="false">IF(C16="GBP",$G$4,IF(C16="USD",$I$4,1))</f>
        <v>0.85648</v>
      </c>
      <c r="G16" s="32" t="n">
        <f aca="false">E16/F16</f>
        <v>6104.88277601345</v>
      </c>
      <c r="H16" s="127" t="n">
        <v>46295</v>
      </c>
      <c r="I16" s="128" t="n">
        <f aca="false">MAX(0,$B$4-H16)</f>
        <v>0</v>
      </c>
      <c r="J16" s="29" t="n">
        <f aca="false">IF(H16&gt;=$B$4,G16,0)</f>
        <v>6104.88277601345</v>
      </c>
      <c r="K16" s="29" t="n">
        <f aca="false">IF(AND(I16&gt;=1,I16&lt;=30),G16,0)</f>
        <v>0</v>
      </c>
      <c r="L16" s="29" t="n">
        <f aca="false">IF(AND(I16&gt;30,I16&lt;=60),G16,0)</f>
        <v>0</v>
      </c>
      <c r="M16" s="29" t="n">
        <f aca="false">IF(AND(I16&gt;60,I16&lt;=90),G16,0)</f>
        <v>0</v>
      </c>
      <c r="N16" s="29" t="n">
        <f aca="false">IF(I16&gt;90,G16,0)</f>
        <v>0</v>
      </c>
      <c r="O16" s="46" t="s">
        <v>1270</v>
      </c>
    </row>
    <row r="17" customFormat="false" ht="15" hidden="false" customHeight="false" outlineLevel="0" collapsed="false">
      <c r="A17" s="15" t="s">
        <v>671</v>
      </c>
      <c r="B17" s="15" t="s">
        <v>1271</v>
      </c>
      <c r="C17" s="15" t="s">
        <v>672</v>
      </c>
      <c r="D17" s="15" t="s">
        <v>1222</v>
      </c>
      <c r="E17" s="126" t="n">
        <v>18459.49</v>
      </c>
      <c r="F17" s="88" t="n">
        <f aca="false">IF(C17="GBP",$G$4,IF(C17="USD",$I$4,1))</f>
        <v>1.1596</v>
      </c>
      <c r="G17" s="32" t="n">
        <f aca="false">E17/F17</f>
        <v>15918.8427043808</v>
      </c>
      <c r="H17" s="127" t="n">
        <v>46310</v>
      </c>
      <c r="I17" s="128" t="n">
        <f aca="false">MAX(0,$B$4-H17)</f>
        <v>0</v>
      </c>
      <c r="J17" s="29" t="n">
        <f aca="false">IF(H17&gt;=$B$4,G17,0)</f>
        <v>15918.8427043808</v>
      </c>
      <c r="K17" s="29" t="n">
        <f aca="false">IF(AND(I17&gt;=1,I17&lt;=30),G17,0)</f>
        <v>0</v>
      </c>
      <c r="L17" s="29" t="n">
        <f aca="false">IF(AND(I17&gt;30,I17&lt;=60),G17,0)</f>
        <v>0</v>
      </c>
      <c r="M17" s="29" t="n">
        <f aca="false">IF(AND(I17&gt;60,I17&lt;=90),G17,0)</f>
        <v>0</v>
      </c>
      <c r="N17" s="29" t="n">
        <f aca="false">IF(I17&gt;90,G17,0)</f>
        <v>0</v>
      </c>
      <c r="O17" s="46" t="s">
        <v>1272</v>
      </c>
    </row>
    <row r="18" customFormat="false" ht="15" hidden="false" customHeight="false" outlineLevel="0" collapsed="false">
      <c r="A18" s="15" t="s">
        <v>671</v>
      </c>
      <c r="B18" s="15" t="s">
        <v>1273</v>
      </c>
      <c r="C18" s="15" t="s">
        <v>672</v>
      </c>
      <c r="D18" s="15" t="s">
        <v>1222</v>
      </c>
      <c r="E18" s="126" t="n">
        <v>18459.49</v>
      </c>
      <c r="F18" s="88" t="n">
        <f aca="false">IF(C18="GBP",$G$4,IF(C18="USD",$I$4,1))</f>
        <v>1.1596</v>
      </c>
      <c r="G18" s="32" t="n">
        <f aca="false">E18/F18</f>
        <v>15918.8427043808</v>
      </c>
      <c r="H18" s="127" t="n">
        <v>46279</v>
      </c>
      <c r="I18" s="128" t="n">
        <f aca="false">MAX(0,$B$4-H18)</f>
        <v>0</v>
      </c>
      <c r="J18" s="29" t="n">
        <f aca="false">IF(H18&gt;=$B$4,G18,0)</f>
        <v>15918.8427043808</v>
      </c>
      <c r="K18" s="29" t="n">
        <f aca="false">IF(AND(I18&gt;=1,I18&lt;=30),G18,0)</f>
        <v>0</v>
      </c>
      <c r="L18" s="29" t="n">
        <f aca="false">IF(AND(I18&gt;30,I18&lt;=60),G18,0)</f>
        <v>0</v>
      </c>
      <c r="M18" s="29" t="n">
        <f aca="false">IF(AND(I18&gt;60,I18&lt;=90),G18,0)</f>
        <v>0</v>
      </c>
      <c r="N18" s="29" t="n">
        <f aca="false">IF(I18&gt;90,G18,0)</f>
        <v>0</v>
      </c>
      <c r="O18" s="46" t="s">
        <v>1265</v>
      </c>
    </row>
    <row r="19" customFormat="false" ht="22.35" hidden="false" customHeight="false" outlineLevel="0" collapsed="false">
      <c r="A19" s="15" t="s">
        <v>673</v>
      </c>
      <c r="B19" s="15" t="s">
        <v>1274</v>
      </c>
      <c r="C19" s="15" t="s">
        <v>672</v>
      </c>
      <c r="D19" s="15" t="s">
        <v>1222</v>
      </c>
      <c r="E19" s="126" t="n">
        <v>81657.4</v>
      </c>
      <c r="F19" s="88" t="n">
        <f aca="false">IF(C19="GBP",$G$4,IF(C19="USD",$I$4,1))</f>
        <v>1.1596</v>
      </c>
      <c r="G19" s="32" t="n">
        <f aca="false">E19/F19</f>
        <v>70418.5926181442</v>
      </c>
      <c r="H19" s="127" t="n">
        <v>46325</v>
      </c>
      <c r="I19" s="128" t="n">
        <f aca="false">MAX(0,$B$4-H19)</f>
        <v>0</v>
      </c>
      <c r="J19" s="29" t="n">
        <f aca="false">IF(H19&gt;=$B$4,G19,0)</f>
        <v>70418.5926181442</v>
      </c>
      <c r="K19" s="29" t="n">
        <f aca="false">IF(AND(I19&gt;=1,I19&lt;=30),G19,0)</f>
        <v>0</v>
      </c>
      <c r="L19" s="29" t="n">
        <f aca="false">IF(AND(I19&gt;30,I19&lt;=60),G19,0)</f>
        <v>0</v>
      </c>
      <c r="M19" s="29" t="n">
        <f aca="false">IF(AND(I19&gt;60,I19&lt;=90),G19,0)</f>
        <v>0</v>
      </c>
      <c r="N19" s="29" t="n">
        <f aca="false">IF(I19&gt;90,G19,0)</f>
        <v>0</v>
      </c>
      <c r="O19" s="46" t="s">
        <v>1275</v>
      </c>
    </row>
    <row r="20" customFormat="false" ht="15" hidden="false" customHeight="false" outlineLevel="0" collapsed="false">
      <c r="A20" s="15" t="s">
        <v>673</v>
      </c>
      <c r="B20" s="15" t="s">
        <v>1276</v>
      </c>
      <c r="C20" s="15" t="s">
        <v>672</v>
      </c>
      <c r="D20" s="15" t="s">
        <v>1222</v>
      </c>
      <c r="E20" s="126" t="n">
        <v>77120.88</v>
      </c>
      <c r="F20" s="88" t="n">
        <f aca="false">IF(C20="GBP",$G$4,IF(C20="USD",$I$4,1))</f>
        <v>1.1596</v>
      </c>
      <c r="G20" s="32" t="n">
        <f aca="false">E20/F20</f>
        <v>66506.4505001725</v>
      </c>
      <c r="H20" s="127" t="n">
        <v>46294</v>
      </c>
      <c r="I20" s="128" t="n">
        <f aca="false">MAX(0,$B$4-H20)</f>
        <v>0</v>
      </c>
      <c r="J20" s="29" t="n">
        <f aca="false">IF(H20&gt;=$B$4,G20,0)</f>
        <v>66506.4505001725</v>
      </c>
      <c r="K20" s="29" t="n">
        <f aca="false">IF(AND(I20&gt;=1,I20&lt;=30),G20,0)</f>
        <v>0</v>
      </c>
      <c r="L20" s="29" t="n">
        <f aca="false">IF(AND(I20&gt;30,I20&lt;=60),G20,0)</f>
        <v>0</v>
      </c>
      <c r="M20" s="29" t="n">
        <f aca="false">IF(AND(I20&gt;60,I20&lt;=90),G20,0)</f>
        <v>0</v>
      </c>
      <c r="N20" s="29" t="n">
        <f aca="false">IF(I20&gt;90,G20,0)</f>
        <v>0</v>
      </c>
      <c r="O20" s="46" t="s">
        <v>1277</v>
      </c>
    </row>
    <row r="21" customFormat="false" ht="22.35" hidden="false" customHeight="false" outlineLevel="0" collapsed="false">
      <c r="A21" s="15" t="s">
        <v>673</v>
      </c>
      <c r="B21" s="15" t="s">
        <v>1278</v>
      </c>
      <c r="C21" s="15" t="s">
        <v>672</v>
      </c>
      <c r="D21" s="15" t="s">
        <v>1222</v>
      </c>
      <c r="E21" s="126" t="n">
        <v>68047.83</v>
      </c>
      <c r="F21" s="88" t="n">
        <f aca="false">IF(C21="GBP",$G$4,IF(C21="USD",$I$4,1))</f>
        <v>1.1596</v>
      </c>
      <c r="G21" s="32" t="n">
        <f aca="false">E21/F21</f>
        <v>58682.1576405657</v>
      </c>
      <c r="H21" s="127" t="n">
        <v>46263</v>
      </c>
      <c r="I21" s="128" t="n">
        <f aca="false">MAX(0,$B$4-H21)</f>
        <v>2</v>
      </c>
      <c r="J21" s="29" t="n">
        <f aca="false">IF(H21&gt;=$B$4,G21,0)</f>
        <v>0</v>
      </c>
      <c r="K21" s="29" t="n">
        <f aca="false">IF(AND(I21&gt;=1,I21&lt;=30),G21,0)</f>
        <v>58682.1576405657</v>
      </c>
      <c r="L21" s="29" t="n">
        <f aca="false">IF(AND(I21&gt;30,I21&lt;=60),G21,0)</f>
        <v>0</v>
      </c>
      <c r="M21" s="29" t="n">
        <f aca="false">IF(AND(I21&gt;60,I21&lt;=90),G21,0)</f>
        <v>0</v>
      </c>
      <c r="N21" s="29" t="n">
        <f aca="false">IF(I21&gt;90,G21,0)</f>
        <v>0</v>
      </c>
      <c r="O21" s="46" t="s">
        <v>1279</v>
      </c>
    </row>
    <row r="22" customFormat="false" ht="22.35" hidden="false" customHeight="false" outlineLevel="0" collapsed="false">
      <c r="A22" s="15" t="s">
        <v>674</v>
      </c>
      <c r="B22" s="15" t="s">
        <v>1280</v>
      </c>
      <c r="C22" s="15" t="s">
        <v>672</v>
      </c>
      <c r="D22" s="15" t="s">
        <v>1222</v>
      </c>
      <c r="E22" s="126" t="n">
        <v>16500</v>
      </c>
      <c r="F22" s="88" t="n">
        <f aca="false">IF(C22="GBP",$G$4,IF(C22="USD",$I$4,1))</f>
        <v>1.1596</v>
      </c>
      <c r="G22" s="32" t="n">
        <f aca="false">E22/F22</f>
        <v>14229.0444981028</v>
      </c>
      <c r="H22" s="127" t="n">
        <v>46216</v>
      </c>
      <c r="I22" s="128" t="n">
        <f aca="false">MAX(0,$B$4-H22)</f>
        <v>49</v>
      </c>
      <c r="J22" s="29" t="n">
        <f aca="false">IF(H22&gt;=$B$4,G22,0)</f>
        <v>0</v>
      </c>
      <c r="K22" s="29" t="n">
        <f aca="false">IF(AND(I22&gt;=1,I22&lt;=30),G22,0)</f>
        <v>0</v>
      </c>
      <c r="L22" s="29" t="n">
        <f aca="false">IF(AND(I22&gt;30,I22&lt;=60),G22,0)</f>
        <v>14229.0444981028</v>
      </c>
      <c r="M22" s="29" t="n">
        <f aca="false">IF(AND(I22&gt;60,I22&lt;=90),G22,0)</f>
        <v>0</v>
      </c>
      <c r="N22" s="29" t="n">
        <f aca="false">IF(I22&gt;90,G22,0)</f>
        <v>0</v>
      </c>
      <c r="O22" s="46" t="s">
        <v>1281</v>
      </c>
    </row>
    <row r="23" customFormat="false" ht="15" hidden="false" customHeight="false" outlineLevel="0" collapsed="false">
      <c r="A23" s="15" t="s">
        <v>675</v>
      </c>
      <c r="B23" s="15" t="s">
        <v>1262</v>
      </c>
      <c r="C23" s="15" t="s">
        <v>524</v>
      </c>
      <c r="D23" s="15" t="s">
        <v>605</v>
      </c>
      <c r="E23" s="126" t="n">
        <v>19171.34</v>
      </c>
      <c r="F23" s="88" t="n">
        <f aca="false">IF(C23="GBP",$G$4,IF(C23="USD",$I$4,1))</f>
        <v>1</v>
      </c>
      <c r="G23" s="32" t="n">
        <f aca="false">E23/F23</f>
        <v>19171.34</v>
      </c>
      <c r="H23" s="127" t="n">
        <v>46295</v>
      </c>
      <c r="I23" s="128" t="n">
        <f aca="false">MAX(0,$B$4-H23)</f>
        <v>0</v>
      </c>
      <c r="J23" s="29" t="n">
        <f aca="false">IF(H23&gt;=$B$4,G23,0)</f>
        <v>19171.34</v>
      </c>
      <c r="K23" s="29" t="n">
        <f aca="false">IF(AND(I23&gt;=1,I23&lt;=30),G23,0)</f>
        <v>0</v>
      </c>
      <c r="L23" s="29" t="n">
        <f aca="false">IF(AND(I23&gt;30,I23&lt;=60),G23,0)</f>
        <v>0</v>
      </c>
      <c r="M23" s="29" t="n">
        <f aca="false">IF(AND(I23&gt;60,I23&lt;=90),G23,0)</f>
        <v>0</v>
      </c>
      <c r="N23" s="29" t="n">
        <f aca="false">IF(I23&gt;90,G23,0)</f>
        <v>0</v>
      </c>
      <c r="O23" s="46" t="s">
        <v>1268</v>
      </c>
    </row>
    <row r="24" customFormat="false" ht="15" hidden="false" customHeight="false" outlineLevel="0" collapsed="false">
      <c r="A24" s="15" t="s">
        <v>676</v>
      </c>
      <c r="B24" s="15" t="s">
        <v>1258</v>
      </c>
      <c r="C24" s="15" t="s">
        <v>524</v>
      </c>
      <c r="D24" s="15" t="s">
        <v>605</v>
      </c>
      <c r="E24" s="126" t="n">
        <v>31062.21</v>
      </c>
      <c r="F24" s="88" t="n">
        <f aca="false">IF(C24="GBP",$G$4,IF(C24="USD",$I$4,1))</f>
        <v>1</v>
      </c>
      <c r="G24" s="32" t="n">
        <f aca="false">E24/F24</f>
        <v>31062.21</v>
      </c>
      <c r="H24" s="127" t="n">
        <v>46295</v>
      </c>
      <c r="I24" s="128" t="n">
        <f aca="false">MAX(0,$B$4-H24)</f>
        <v>0</v>
      </c>
      <c r="J24" s="29" t="n">
        <f aca="false">IF(H24&gt;=$B$4,G24,0)</f>
        <v>31062.21</v>
      </c>
      <c r="K24" s="29" t="n">
        <f aca="false">IF(AND(I24&gt;=1,I24&lt;=30),G24,0)</f>
        <v>0</v>
      </c>
      <c r="L24" s="29" t="n">
        <f aca="false">IF(AND(I24&gt;30,I24&lt;=60),G24,0)</f>
        <v>0</v>
      </c>
      <c r="M24" s="29" t="n">
        <f aca="false">IF(AND(I24&gt;60,I24&lt;=90),G24,0)</f>
        <v>0</v>
      </c>
      <c r="N24" s="29" t="n">
        <f aca="false">IF(I24&gt;90,G24,0)</f>
        <v>0</v>
      </c>
      <c r="O24" s="46" t="s">
        <v>1268</v>
      </c>
    </row>
    <row r="25" customFormat="false" ht="15" hidden="false" customHeight="false" outlineLevel="0" collapsed="false">
      <c r="A25" s="15" t="s">
        <v>678</v>
      </c>
      <c r="B25" s="15" t="s">
        <v>1282</v>
      </c>
      <c r="C25" s="15" t="s">
        <v>524</v>
      </c>
      <c r="D25" s="15" t="s">
        <v>605</v>
      </c>
      <c r="E25" s="126" t="n">
        <v>35674.26</v>
      </c>
      <c r="F25" s="88" t="n">
        <f aca="false">IF(C25="GBP",$G$4,IF(C25="USD",$I$4,1))</f>
        <v>1</v>
      </c>
      <c r="G25" s="32" t="n">
        <f aca="false">E25/F25</f>
        <v>35674.26</v>
      </c>
      <c r="H25" s="127" t="n">
        <v>46295</v>
      </c>
      <c r="I25" s="128" t="n">
        <f aca="false">MAX(0,$B$4-H25)</f>
        <v>0</v>
      </c>
      <c r="J25" s="29" t="n">
        <f aca="false">IF(H25&gt;=$B$4,G25,0)</f>
        <v>35674.26</v>
      </c>
      <c r="K25" s="29" t="n">
        <f aca="false">IF(AND(I25&gt;=1,I25&lt;=30),G25,0)</f>
        <v>0</v>
      </c>
      <c r="L25" s="29" t="n">
        <f aca="false">IF(AND(I25&gt;30,I25&lt;=60),G25,0)</f>
        <v>0</v>
      </c>
      <c r="M25" s="29" t="n">
        <f aca="false">IF(AND(I25&gt;60,I25&lt;=90),G25,0)</f>
        <v>0</v>
      </c>
      <c r="N25" s="29" t="n">
        <f aca="false">IF(I25&gt;90,G25,0)</f>
        <v>0</v>
      </c>
      <c r="O25" s="46" t="s">
        <v>1268</v>
      </c>
    </row>
    <row r="26" customFormat="false" ht="15" hidden="false" customHeight="false" outlineLevel="0" collapsed="false">
      <c r="A26" s="15" t="s">
        <v>679</v>
      </c>
      <c r="B26" s="15" t="s">
        <v>1262</v>
      </c>
      <c r="C26" s="15" t="s">
        <v>524</v>
      </c>
      <c r="D26" s="15" t="s">
        <v>605</v>
      </c>
      <c r="E26" s="126" t="n">
        <v>10590.69</v>
      </c>
      <c r="F26" s="88" t="n">
        <f aca="false">IF(C26="GBP",$G$4,IF(C26="USD",$I$4,1))</f>
        <v>1</v>
      </c>
      <c r="G26" s="32" t="n">
        <f aca="false">E26/F26</f>
        <v>10590.69</v>
      </c>
      <c r="H26" s="127" t="n">
        <v>46286</v>
      </c>
      <c r="I26" s="128" t="n">
        <f aca="false">MAX(0,$B$4-H26)</f>
        <v>0</v>
      </c>
      <c r="J26" s="29" t="n">
        <f aca="false">IF(H26&gt;=$B$4,G26,0)</f>
        <v>10590.69</v>
      </c>
      <c r="K26" s="29" t="n">
        <f aca="false">IF(AND(I26&gt;=1,I26&lt;=30),G26,0)</f>
        <v>0</v>
      </c>
      <c r="L26" s="29" t="n">
        <f aca="false">IF(AND(I26&gt;30,I26&lt;=60),G26,0)</f>
        <v>0</v>
      </c>
      <c r="M26" s="29" t="n">
        <f aca="false">IF(AND(I26&gt;60,I26&lt;=90),G26,0)</f>
        <v>0</v>
      </c>
      <c r="N26" s="29" t="n">
        <f aca="false">IF(I26&gt;90,G26,0)</f>
        <v>0</v>
      </c>
      <c r="O26" s="46" t="s">
        <v>1283</v>
      </c>
    </row>
    <row r="27" customFormat="false" ht="15" hidden="false" customHeight="false" outlineLevel="0" collapsed="false">
      <c r="A27" s="15" t="s">
        <v>681</v>
      </c>
      <c r="B27" s="15" t="s">
        <v>1264</v>
      </c>
      <c r="C27" s="15" t="s">
        <v>524</v>
      </c>
      <c r="D27" s="15" t="s">
        <v>605</v>
      </c>
      <c r="E27" s="126" t="n">
        <v>5867.45</v>
      </c>
      <c r="F27" s="88" t="n">
        <f aca="false">IF(C27="GBP",$G$4,IF(C27="USD",$I$4,1))</f>
        <v>1</v>
      </c>
      <c r="G27" s="32" t="n">
        <f aca="false">E27/F27</f>
        <v>5867.45</v>
      </c>
      <c r="H27" s="127" t="n">
        <v>46295</v>
      </c>
      <c r="I27" s="128" t="n">
        <f aca="false">MAX(0,$B$4-H27)</f>
        <v>0</v>
      </c>
      <c r="J27" s="29" t="n">
        <f aca="false">IF(H27&gt;=$B$4,G27,0)</f>
        <v>5867.45</v>
      </c>
      <c r="K27" s="29" t="n">
        <f aca="false">IF(AND(I27&gt;=1,I27&lt;=30),G27,0)</f>
        <v>0</v>
      </c>
      <c r="L27" s="29" t="n">
        <f aca="false">IF(AND(I27&gt;30,I27&lt;=60),G27,0)</f>
        <v>0</v>
      </c>
      <c r="M27" s="29" t="n">
        <f aca="false">IF(AND(I27&gt;60,I27&lt;=90),G27,0)</f>
        <v>0</v>
      </c>
      <c r="N27" s="29" t="n">
        <f aca="false">IF(I27&gt;90,G27,0)</f>
        <v>0</v>
      </c>
      <c r="O27" s="46" t="s">
        <v>1268</v>
      </c>
    </row>
    <row r="28" customFormat="false" ht="15" hidden="false" customHeight="false" outlineLevel="0" collapsed="false">
      <c r="A28" s="15" t="s">
        <v>682</v>
      </c>
      <c r="B28" s="15" t="s">
        <v>1284</v>
      </c>
      <c r="C28" s="15" t="s">
        <v>524</v>
      </c>
      <c r="D28" s="15" t="s">
        <v>605</v>
      </c>
      <c r="E28" s="126" t="n">
        <v>19726.6</v>
      </c>
      <c r="F28" s="88" t="n">
        <f aca="false">IF(C28="GBP",$G$4,IF(C28="USD",$I$4,1))</f>
        <v>1</v>
      </c>
      <c r="G28" s="32" t="n">
        <f aca="false">E28/F28</f>
        <v>19726.6</v>
      </c>
      <c r="H28" s="127" t="n">
        <v>46279</v>
      </c>
      <c r="I28" s="128" t="n">
        <f aca="false">MAX(0,$B$4-H28)</f>
        <v>0</v>
      </c>
      <c r="J28" s="29" t="n">
        <f aca="false">IF(H28&gt;=$B$4,G28,0)</f>
        <v>19726.6</v>
      </c>
      <c r="K28" s="29" t="n">
        <f aca="false">IF(AND(I28&gt;=1,I28&lt;=30),G28,0)</f>
        <v>0</v>
      </c>
      <c r="L28" s="29" t="n">
        <f aca="false">IF(AND(I28&gt;30,I28&lt;=60),G28,0)</f>
        <v>0</v>
      </c>
      <c r="M28" s="29" t="n">
        <f aca="false">IF(AND(I28&gt;60,I28&lt;=90),G28,0)</f>
        <v>0</v>
      </c>
      <c r="N28" s="29" t="n">
        <f aca="false">IF(I28&gt;90,G28,0)</f>
        <v>0</v>
      </c>
      <c r="O28" s="46" t="s">
        <v>1285</v>
      </c>
    </row>
    <row r="29" customFormat="false" ht="15" hidden="false" customHeight="false" outlineLevel="0" collapsed="false">
      <c r="A29" s="15" t="s">
        <v>683</v>
      </c>
      <c r="B29" s="15" t="s">
        <v>1286</v>
      </c>
      <c r="C29" s="15" t="s">
        <v>524</v>
      </c>
      <c r="D29" s="15" t="s">
        <v>605</v>
      </c>
      <c r="E29" s="126" t="n">
        <v>5578.78</v>
      </c>
      <c r="F29" s="88" t="n">
        <f aca="false">IF(C29="GBP",$G$4,IF(C29="USD",$I$4,1))</f>
        <v>1</v>
      </c>
      <c r="G29" s="32" t="n">
        <f aca="false">E29/F29</f>
        <v>5578.78</v>
      </c>
      <c r="H29" s="127" t="n">
        <v>46285</v>
      </c>
      <c r="I29" s="128" t="n">
        <f aca="false">MAX(0,$B$4-H29)</f>
        <v>0</v>
      </c>
      <c r="J29" s="29" t="n">
        <f aca="false">IF(H29&gt;=$B$4,G29,0)</f>
        <v>5578.78</v>
      </c>
      <c r="K29" s="29" t="n">
        <f aca="false">IF(AND(I29&gt;=1,I29&lt;=30),G29,0)</f>
        <v>0</v>
      </c>
      <c r="L29" s="29" t="n">
        <f aca="false">IF(AND(I29&gt;30,I29&lt;=60),G29,0)</f>
        <v>0</v>
      </c>
      <c r="M29" s="29" t="n">
        <f aca="false">IF(AND(I29&gt;60,I29&lt;=90),G29,0)</f>
        <v>0</v>
      </c>
      <c r="N29" s="29" t="n">
        <f aca="false">IF(I29&gt;90,G29,0)</f>
        <v>0</v>
      </c>
      <c r="O29" s="46" t="s">
        <v>1287</v>
      </c>
    </row>
    <row r="30" customFormat="false" ht="15" hidden="false" customHeight="false" outlineLevel="0" collapsed="false">
      <c r="A30" s="15" t="s">
        <v>683</v>
      </c>
      <c r="B30" s="15" t="s">
        <v>1288</v>
      </c>
      <c r="C30" s="15" t="s">
        <v>524</v>
      </c>
      <c r="D30" s="15" t="s">
        <v>605</v>
      </c>
      <c r="E30" s="126" t="n">
        <v>1394.7</v>
      </c>
      <c r="F30" s="88" t="n">
        <f aca="false">IF(C30="GBP",$G$4,IF(C30="USD",$I$4,1))</f>
        <v>1</v>
      </c>
      <c r="G30" s="32" t="n">
        <f aca="false">E30/F30</f>
        <v>1394.7</v>
      </c>
      <c r="H30" s="127" t="n">
        <v>46254</v>
      </c>
      <c r="I30" s="128" t="n">
        <f aca="false">MAX(0,$B$4-H30)</f>
        <v>11</v>
      </c>
      <c r="J30" s="29" t="n">
        <f aca="false">IF(H30&gt;=$B$4,G30,0)</f>
        <v>0</v>
      </c>
      <c r="K30" s="29" t="n">
        <f aca="false">IF(AND(I30&gt;=1,I30&lt;=30),G30,0)</f>
        <v>1394.7</v>
      </c>
      <c r="L30" s="29" t="n">
        <f aca="false">IF(AND(I30&gt;30,I30&lt;=60),G30,0)</f>
        <v>0</v>
      </c>
      <c r="M30" s="29" t="n">
        <f aca="false">IF(AND(I30&gt;60,I30&lt;=90),G30,0)</f>
        <v>0</v>
      </c>
      <c r="N30" s="29" t="n">
        <f aca="false">IF(I30&gt;90,G30,0)</f>
        <v>0</v>
      </c>
      <c r="O30" s="46" t="s">
        <v>1289</v>
      </c>
    </row>
    <row r="31" customFormat="false" ht="15" hidden="false" customHeight="false" outlineLevel="0" collapsed="false">
      <c r="A31" s="79" t="s">
        <v>1290</v>
      </c>
      <c r="G31" s="80" t="n">
        <f aca="false">SUM(G7:G30)</f>
        <v>607049.157404024</v>
      </c>
      <c r="J31" s="80" t="n">
        <f aca="false">SUM(J7:J30)</f>
        <v>515479.909944975</v>
      </c>
      <c r="K31" s="80" t="n">
        <f aca="false">SUM(K7:K30)</f>
        <v>77340.2029609468</v>
      </c>
      <c r="L31" s="80" t="n">
        <f aca="false">SUM(L7:L30)</f>
        <v>14229.0444981028</v>
      </c>
      <c r="M31" s="80" t="n">
        <f aca="false">SUM(M7:M30)</f>
        <v>0</v>
      </c>
      <c r="N31" s="80" t="n">
        <f aca="false">SUM(N7:N30)</f>
        <v>0</v>
      </c>
    </row>
    <row r="32" customFormat="false" ht="15" hidden="false" customHeight="false" outlineLevel="0" collapsed="false">
      <c r="A32" s="14" t="s">
        <v>1291</v>
      </c>
      <c r="J32" s="109" t="n">
        <f aca="false">IF($G$31=0,0,J31/$G$31)</f>
        <v>0.849156783528644</v>
      </c>
      <c r="K32" s="109" t="n">
        <f aca="false">IF($G$31=0,0,K31/$G$31)</f>
        <v>0.127403525756766</v>
      </c>
      <c r="L32" s="109" t="n">
        <f aca="false">IF($G$31=0,0,L31/$G$31)</f>
        <v>0.02343969071459</v>
      </c>
      <c r="M32" s="109" t="n">
        <f aca="false">IF($G$31=0,0,M31/$G$31)</f>
        <v>0</v>
      </c>
      <c r="N32" s="109" t="n">
        <f aca="false">IF($G$31=0,0,N31/$G$31)</f>
        <v>0</v>
      </c>
    </row>
    <row r="33" customFormat="false" ht="23.85" hidden="false" customHeight="false" outlineLevel="0" collapsed="false">
      <c r="A33" s="42" t="s">
        <v>1292</v>
      </c>
      <c r="B33" s="43"/>
      <c r="C33" s="43"/>
      <c r="D33" s="43"/>
      <c r="E33" s="43" t="s">
        <v>1293</v>
      </c>
      <c r="F33" s="43"/>
      <c r="G33" s="43" t="s">
        <v>1294</v>
      </c>
      <c r="H33" s="43" t="s">
        <v>1295</v>
      </c>
      <c r="I33" s="43" t="s">
        <v>1296</v>
      </c>
    </row>
    <row r="34" customFormat="false" ht="15" hidden="false" customHeight="false" outlineLevel="0" collapsed="false">
      <c r="A34" s="5" t="s">
        <v>1297</v>
      </c>
      <c r="E34" s="29" t="n">
        <f aca="false">SUMIFS(E7:E30,D7:D30,"GBP clients")</f>
        <v>170698.02</v>
      </c>
      <c r="G34" s="29" t="n">
        <f aca="false">SUMIFS(G7:G30,D7:D30,"GBP clients")</f>
        <v>199301.816738278</v>
      </c>
      <c r="H34" s="60" t="n">
        <f aca="false">INDEX(FX!$E$40:$AB$40,Assumptions!$C$10)</f>
        <v>199301.81778909</v>
      </c>
      <c r="I34" s="36" t="n">
        <f aca="false">ROUND(G34-H34,0)</f>
        <v>-0</v>
      </c>
    </row>
    <row r="35" customFormat="false" ht="15" hidden="false" customHeight="false" outlineLevel="0" collapsed="false">
      <c r="A35" s="5" t="s">
        <v>1298</v>
      </c>
      <c r="E35" s="29" t="n">
        <f aca="false">SUMIFS(E7:E30,D7:D30,"USD clients")</f>
        <v>280245.09</v>
      </c>
      <c r="G35" s="29" t="n">
        <f aca="false">SUMIFS(G7:G30,D7:D30,"USD clients")</f>
        <v>241673.930665747</v>
      </c>
      <c r="H35" s="60" t="n">
        <f aca="false">INDEX(FX!$E$56:$AB$56,Assumptions!$C$10)</f>
        <v>241673.930665747</v>
      </c>
      <c r="I35" s="36" t="n">
        <f aca="false">ROUND(G35-H35,0)</f>
        <v>0</v>
      </c>
    </row>
    <row r="36" customFormat="false" ht="15" hidden="false" customHeight="false" outlineLevel="0" collapsed="false">
      <c r="A36" s="5" t="s">
        <v>1299</v>
      </c>
      <c r="E36" s="29" t="n">
        <f aca="false">SUMIFS(E7:E30,D7:D30,"EUR clients")</f>
        <v>166073.41</v>
      </c>
      <c r="G36" s="29" t="n">
        <f aca="false">SUMIFS(G7:G30,D7:D30,"EUR clients")</f>
        <v>166073.41</v>
      </c>
      <c r="H36" s="60" t="n">
        <f aca="false">INDEX(FX!$E$24:$AB$24,Assumptions!$C$10)</f>
        <v>166073.4028</v>
      </c>
      <c r="I36" s="36" t="n">
        <f aca="false">ROUND(G36-H36,0)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50"/>
    <col collapsed="false" customWidth="true" hidden="false" outlineLevel="0" max="3" min="3" style="0" width="15"/>
    <col collapsed="false" customWidth="true" hidden="false" outlineLevel="0" max="4" min="4" style="0" width="13"/>
    <col collapsed="false" customWidth="true" hidden="false" outlineLevel="0" max="5" min="5" style="0" width="11"/>
    <col collapsed="false" customWidth="true" hidden="false" outlineLevel="0" max="6" min="6" style="0" width="9"/>
    <col collapsed="false" customWidth="true" hidden="false" outlineLevel="0" max="11" min="7" style="0" width="12"/>
    <col collapsed="false" customWidth="true" hidden="false" outlineLevel="0" max="12" min="12" style="0" width="56"/>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1300</v>
      </c>
    </row>
    <row r="3" customFormat="false" ht="15" hidden="false" customHeight="false" outlineLevel="0" collapsed="false">
      <c r="A3" s="25" t="s">
        <v>1301</v>
      </c>
    </row>
    <row r="4" customFormat="false" ht="15" hidden="false" customHeight="false" outlineLevel="0" collapsed="false">
      <c r="A4" s="0" t="s">
        <v>1238</v>
      </c>
      <c r="B4" s="124" t="n">
        <f aca="false">Assumptions!$C$15</f>
        <v>46265</v>
      </c>
    </row>
    <row r="6" customFormat="false" ht="30" hidden="false" customHeight="true" outlineLevel="0" collapsed="false">
      <c r="A6" s="26" t="s">
        <v>1302</v>
      </c>
      <c r="B6" s="27" t="s">
        <v>1303</v>
      </c>
      <c r="C6" s="27" t="s">
        <v>1242</v>
      </c>
      <c r="D6" s="27" t="s">
        <v>1245</v>
      </c>
      <c r="E6" s="27" t="s">
        <v>1246</v>
      </c>
      <c r="F6" s="27" t="s">
        <v>1247</v>
      </c>
      <c r="G6" s="27" t="s">
        <v>1248</v>
      </c>
      <c r="H6" s="27" t="s">
        <v>1249</v>
      </c>
      <c r="I6" s="27" t="s">
        <v>1250</v>
      </c>
      <c r="J6" s="27" t="s">
        <v>1251</v>
      </c>
      <c r="K6" s="27" t="s">
        <v>1252</v>
      </c>
      <c r="L6" s="27" t="s">
        <v>1253</v>
      </c>
    </row>
    <row r="7" customFormat="false" ht="15" hidden="false" customHeight="false" outlineLevel="0" collapsed="false">
      <c r="A7" s="15" t="s">
        <v>1304</v>
      </c>
      <c r="B7" s="15" t="s">
        <v>1305</v>
      </c>
      <c r="C7" s="15" t="s">
        <v>343</v>
      </c>
      <c r="D7" s="103" t="n">
        <v>5556.36</v>
      </c>
      <c r="E7" s="127" t="n">
        <v>46280</v>
      </c>
      <c r="F7" s="128" t="n">
        <f aca="false">MAX(0,$B$4-E7)</f>
        <v>0</v>
      </c>
      <c r="G7" s="29" t="n">
        <f aca="false">IF(E7&gt;=$B$4,D7,0)</f>
        <v>5556.36</v>
      </c>
      <c r="H7" s="29" t="n">
        <f aca="false">IF(AND(F7&gt;=1,F7&lt;=30),D7,0)</f>
        <v>0</v>
      </c>
      <c r="I7" s="29" t="n">
        <f aca="false">IF(AND(F7&gt;30,F7&lt;=60),D7,0)</f>
        <v>0</v>
      </c>
      <c r="J7" s="29" t="n">
        <f aca="false">IF(AND(F7&gt;60,F7&lt;=90),D7,0)</f>
        <v>0</v>
      </c>
      <c r="K7" s="29" t="n">
        <f aca="false">IF(F7&gt;90,D7,0)</f>
        <v>0</v>
      </c>
      <c r="L7" s="46" t="s">
        <v>1306</v>
      </c>
    </row>
    <row r="8" customFormat="false" ht="15" hidden="false" customHeight="false" outlineLevel="0" collapsed="false">
      <c r="A8" s="15" t="s">
        <v>1307</v>
      </c>
      <c r="B8" s="15" t="s">
        <v>1305</v>
      </c>
      <c r="C8" s="15" t="s">
        <v>343</v>
      </c>
      <c r="D8" s="103" t="n">
        <v>4546.11</v>
      </c>
      <c r="E8" s="127" t="n">
        <v>46280</v>
      </c>
      <c r="F8" s="128" t="n">
        <f aca="false">MAX(0,$B$4-E8)</f>
        <v>0</v>
      </c>
      <c r="G8" s="29" t="n">
        <f aca="false">IF(E8&gt;=$B$4,D8,0)</f>
        <v>4546.11</v>
      </c>
      <c r="H8" s="29" t="n">
        <f aca="false">IF(AND(F8&gt;=1,F8&lt;=30),D8,0)</f>
        <v>0</v>
      </c>
      <c r="I8" s="29" t="n">
        <f aca="false">IF(AND(F8&gt;30,F8&lt;=60),D8,0)</f>
        <v>0</v>
      </c>
      <c r="J8" s="29" t="n">
        <f aca="false">IF(AND(F8&gt;60,F8&lt;=90),D8,0)</f>
        <v>0</v>
      </c>
      <c r="K8" s="29" t="n">
        <f aca="false">IF(F8&gt;90,D8,0)</f>
        <v>0</v>
      </c>
      <c r="L8" s="46" t="s">
        <v>1306</v>
      </c>
    </row>
    <row r="9" customFormat="false" ht="15" hidden="false" customHeight="false" outlineLevel="0" collapsed="false">
      <c r="A9" s="15" t="s">
        <v>1308</v>
      </c>
      <c r="B9" s="15" t="s">
        <v>1309</v>
      </c>
      <c r="C9" s="15" t="s">
        <v>343</v>
      </c>
      <c r="D9" s="103" t="n">
        <v>3788.42</v>
      </c>
      <c r="E9" s="127" t="n">
        <v>46285</v>
      </c>
      <c r="F9" s="128" t="n">
        <f aca="false">MAX(0,$B$4-E9)</f>
        <v>0</v>
      </c>
      <c r="G9" s="29" t="n">
        <f aca="false">IF(E9&gt;=$B$4,D9,0)</f>
        <v>3788.42</v>
      </c>
      <c r="H9" s="29" t="n">
        <f aca="false">IF(AND(F9&gt;=1,F9&lt;=30),D9,0)</f>
        <v>0</v>
      </c>
      <c r="I9" s="29" t="n">
        <f aca="false">IF(AND(F9&gt;30,F9&lt;=60),D9,0)</f>
        <v>0</v>
      </c>
      <c r="J9" s="29" t="n">
        <f aca="false">IF(AND(F9&gt;60,F9&lt;=90),D9,0)</f>
        <v>0</v>
      </c>
      <c r="K9" s="29" t="n">
        <f aca="false">IF(F9&gt;90,D9,0)</f>
        <v>0</v>
      </c>
      <c r="L9" s="46" t="s">
        <v>1306</v>
      </c>
    </row>
    <row r="10" customFormat="false" ht="15" hidden="false" customHeight="false" outlineLevel="0" collapsed="false">
      <c r="A10" s="15" t="s">
        <v>1310</v>
      </c>
      <c r="B10" s="15" t="s">
        <v>1305</v>
      </c>
      <c r="C10" s="15" t="s">
        <v>343</v>
      </c>
      <c r="D10" s="103" t="n">
        <v>3030.74</v>
      </c>
      <c r="E10" s="127" t="n">
        <v>46275</v>
      </c>
      <c r="F10" s="128" t="n">
        <f aca="false">MAX(0,$B$4-E10)</f>
        <v>0</v>
      </c>
      <c r="G10" s="29" t="n">
        <f aca="false">IF(E10&gt;=$B$4,D10,0)</f>
        <v>3030.74</v>
      </c>
      <c r="H10" s="29" t="n">
        <f aca="false">IF(AND(F10&gt;=1,F10&lt;=30),D10,0)</f>
        <v>0</v>
      </c>
      <c r="I10" s="29" t="n">
        <f aca="false">IF(AND(F10&gt;30,F10&lt;=60),D10,0)</f>
        <v>0</v>
      </c>
      <c r="J10" s="29" t="n">
        <f aca="false">IF(AND(F10&gt;60,F10&lt;=90),D10,0)</f>
        <v>0</v>
      </c>
      <c r="K10" s="29" t="n">
        <f aca="false">IF(F10&gt;90,D10,0)</f>
        <v>0</v>
      </c>
      <c r="L10" s="46" t="s">
        <v>1306</v>
      </c>
    </row>
    <row r="11" customFormat="false" ht="15" hidden="false" customHeight="false" outlineLevel="0" collapsed="false">
      <c r="A11" s="15" t="s">
        <v>1311</v>
      </c>
      <c r="B11" s="15" t="s">
        <v>1312</v>
      </c>
      <c r="C11" s="15" t="s">
        <v>343</v>
      </c>
      <c r="D11" s="103" t="n">
        <v>8334.54</v>
      </c>
      <c r="E11" s="127" t="n">
        <v>46285</v>
      </c>
      <c r="F11" s="128" t="n">
        <f aca="false">MAX(0,$B$4-E11)</f>
        <v>0</v>
      </c>
      <c r="G11" s="29" t="n">
        <f aca="false">IF(E11&gt;=$B$4,D11,0)</f>
        <v>8334.54</v>
      </c>
      <c r="H11" s="29" t="n">
        <f aca="false">IF(AND(F11&gt;=1,F11&lt;=30),D11,0)</f>
        <v>0</v>
      </c>
      <c r="I11" s="29" t="n">
        <f aca="false">IF(AND(F11&gt;30,F11&lt;=60),D11,0)</f>
        <v>0</v>
      </c>
      <c r="J11" s="29" t="n">
        <f aca="false">IF(AND(F11&gt;60,F11&lt;=90),D11,0)</f>
        <v>0</v>
      </c>
      <c r="K11" s="29" t="n">
        <f aca="false">IF(F11&gt;90,D11,0)</f>
        <v>0</v>
      </c>
      <c r="L11" s="46" t="s">
        <v>1306</v>
      </c>
    </row>
    <row r="12" customFormat="false" ht="15" hidden="false" customHeight="false" outlineLevel="0" collapsed="false">
      <c r="A12" s="15" t="s">
        <v>1313</v>
      </c>
      <c r="B12" s="15" t="s">
        <v>1314</v>
      </c>
      <c r="C12" s="15" t="s">
        <v>453</v>
      </c>
      <c r="D12" s="103" t="n">
        <v>129277.03</v>
      </c>
      <c r="E12" s="127" t="n">
        <v>46295</v>
      </c>
      <c r="F12" s="128" t="n">
        <f aca="false">MAX(0,$B$4-E12)</f>
        <v>0</v>
      </c>
      <c r="G12" s="29" t="n">
        <f aca="false">IF(E12&gt;=$B$4,D12,0)</f>
        <v>129277.03</v>
      </c>
      <c r="H12" s="29" t="n">
        <f aca="false">IF(AND(F12&gt;=1,F12&lt;=30),D12,0)</f>
        <v>0</v>
      </c>
      <c r="I12" s="29" t="n">
        <f aca="false">IF(AND(F12&gt;30,F12&lt;=60),D12,0)</f>
        <v>0</v>
      </c>
      <c r="J12" s="29" t="n">
        <f aca="false">IF(AND(F12&gt;60,F12&lt;=90),D12,0)</f>
        <v>0</v>
      </c>
      <c r="K12" s="29" t="n">
        <f aca="false">IF(F12&gt;90,D12,0)</f>
        <v>0</v>
      </c>
      <c r="L12" s="46" t="s">
        <v>1315</v>
      </c>
    </row>
    <row r="13" customFormat="false" ht="15" hidden="false" customHeight="false" outlineLevel="0" collapsed="false">
      <c r="A13" s="15" t="s">
        <v>1316</v>
      </c>
      <c r="B13" s="15" t="s">
        <v>1314</v>
      </c>
      <c r="C13" s="15" t="s">
        <v>453</v>
      </c>
      <c r="D13" s="103" t="n">
        <v>105772.12</v>
      </c>
      <c r="E13" s="127" t="n">
        <v>46295</v>
      </c>
      <c r="F13" s="128" t="n">
        <f aca="false">MAX(0,$B$4-E13)</f>
        <v>0</v>
      </c>
      <c r="G13" s="29" t="n">
        <f aca="false">IF(E13&gt;=$B$4,D13,0)</f>
        <v>105772.12</v>
      </c>
      <c r="H13" s="29" t="n">
        <f aca="false">IF(AND(F13&gt;=1,F13&lt;=30),D13,0)</f>
        <v>0</v>
      </c>
      <c r="I13" s="29" t="n">
        <f aca="false">IF(AND(F13&gt;30,F13&lt;=60),D13,0)</f>
        <v>0</v>
      </c>
      <c r="J13" s="29" t="n">
        <f aca="false">IF(AND(F13&gt;60,F13&lt;=90),D13,0)</f>
        <v>0</v>
      </c>
      <c r="K13" s="29" t="n">
        <f aca="false">IF(F13&gt;90,D13,0)</f>
        <v>0</v>
      </c>
      <c r="L13" s="46" t="s">
        <v>1315</v>
      </c>
    </row>
    <row r="14" customFormat="false" ht="15" hidden="false" customHeight="false" outlineLevel="0" collapsed="false">
      <c r="A14" s="15" t="s">
        <v>1317</v>
      </c>
      <c r="B14" s="15" t="s">
        <v>1318</v>
      </c>
      <c r="C14" s="15" t="s">
        <v>454</v>
      </c>
      <c r="D14" s="103" t="n">
        <v>4285.03</v>
      </c>
      <c r="E14" s="127" t="n">
        <v>46295</v>
      </c>
      <c r="F14" s="128" t="n">
        <f aca="false">MAX(0,$B$4-E14)</f>
        <v>0</v>
      </c>
      <c r="G14" s="29" t="n">
        <f aca="false">IF(E14&gt;=$B$4,D14,0)</f>
        <v>4285.03</v>
      </c>
      <c r="H14" s="29" t="n">
        <f aca="false">IF(AND(F14&gt;=1,F14&lt;=30),D14,0)</f>
        <v>0</v>
      </c>
      <c r="I14" s="29" t="n">
        <f aca="false">IF(AND(F14&gt;30,F14&lt;=60),D14,0)</f>
        <v>0</v>
      </c>
      <c r="J14" s="29" t="n">
        <f aca="false">IF(AND(F14&gt;60,F14&lt;=90),D14,0)</f>
        <v>0</v>
      </c>
      <c r="K14" s="29" t="n">
        <f aca="false">IF(F14&gt;90,D14,0)</f>
        <v>0</v>
      </c>
      <c r="L14" s="46" t="s">
        <v>1319</v>
      </c>
    </row>
    <row r="15" customFormat="false" ht="15" hidden="false" customHeight="false" outlineLevel="0" collapsed="false">
      <c r="A15" s="15" t="s">
        <v>1320</v>
      </c>
      <c r="B15" s="15" t="s">
        <v>1321</v>
      </c>
      <c r="C15" s="15" t="s">
        <v>454</v>
      </c>
      <c r="D15" s="103" t="n">
        <v>2626.31</v>
      </c>
      <c r="E15" s="127" t="n">
        <v>46295</v>
      </c>
      <c r="F15" s="128" t="n">
        <f aca="false">MAX(0,$B$4-E15)</f>
        <v>0</v>
      </c>
      <c r="G15" s="29" t="n">
        <f aca="false">IF(E15&gt;=$B$4,D15,0)</f>
        <v>2626.31</v>
      </c>
      <c r="H15" s="29" t="n">
        <f aca="false">IF(AND(F15&gt;=1,F15&lt;=30),D15,0)</f>
        <v>0</v>
      </c>
      <c r="I15" s="29" t="n">
        <f aca="false">IF(AND(F15&gt;30,F15&lt;=60),D15,0)</f>
        <v>0</v>
      </c>
      <c r="J15" s="29" t="n">
        <f aca="false">IF(AND(F15&gt;60,F15&lt;=90),D15,0)</f>
        <v>0</v>
      </c>
      <c r="K15" s="29" t="n">
        <f aca="false">IF(F15&gt;90,D15,0)</f>
        <v>0</v>
      </c>
      <c r="L15" s="46" t="s">
        <v>1319</v>
      </c>
    </row>
    <row r="16" customFormat="false" ht="15" hidden="false" customHeight="false" outlineLevel="0" collapsed="false">
      <c r="A16" s="15" t="s">
        <v>1322</v>
      </c>
      <c r="B16" s="15" t="s">
        <v>1323</v>
      </c>
      <c r="C16" s="15" t="s">
        <v>73</v>
      </c>
      <c r="D16" s="103" t="n">
        <v>7727.66</v>
      </c>
      <c r="E16" s="127" t="n">
        <v>46283</v>
      </c>
      <c r="F16" s="128" t="n">
        <f aca="false">MAX(0,$B$4-E16)</f>
        <v>0</v>
      </c>
      <c r="G16" s="29" t="n">
        <f aca="false">IF(E16&gt;=$B$4,D16,0)</f>
        <v>7727.66</v>
      </c>
      <c r="H16" s="29" t="n">
        <f aca="false">IF(AND(F16&gt;=1,F16&lt;=30),D16,0)</f>
        <v>0</v>
      </c>
      <c r="I16" s="29" t="n">
        <f aca="false">IF(AND(F16&gt;30,F16&lt;=60),D16,0)</f>
        <v>0</v>
      </c>
      <c r="J16" s="29" t="n">
        <f aca="false">IF(AND(F16&gt;60,F16&lt;=90),D16,0)</f>
        <v>0</v>
      </c>
      <c r="K16" s="29" t="n">
        <f aca="false">IF(F16&gt;90,D16,0)</f>
        <v>0</v>
      </c>
      <c r="L16" s="46"/>
    </row>
    <row r="17" customFormat="false" ht="15" hidden="false" customHeight="false" outlineLevel="0" collapsed="false">
      <c r="A17" s="15" t="s">
        <v>1324</v>
      </c>
      <c r="B17" s="15" t="s">
        <v>1325</v>
      </c>
      <c r="C17" s="15" t="s">
        <v>73</v>
      </c>
      <c r="D17" s="103" t="n">
        <v>5454.82</v>
      </c>
      <c r="E17" s="127" t="n">
        <v>46283</v>
      </c>
      <c r="F17" s="128" t="n">
        <f aca="false">MAX(0,$B$4-E17)</f>
        <v>0</v>
      </c>
      <c r="G17" s="29" t="n">
        <f aca="false">IF(E17&gt;=$B$4,D17,0)</f>
        <v>5454.82</v>
      </c>
      <c r="H17" s="29" t="n">
        <f aca="false">IF(AND(F17&gt;=1,F17&lt;=30),D17,0)</f>
        <v>0</v>
      </c>
      <c r="I17" s="29" t="n">
        <f aca="false">IF(AND(F17&gt;30,F17&lt;=60),D17,0)</f>
        <v>0</v>
      </c>
      <c r="J17" s="29" t="n">
        <f aca="false">IF(AND(F17&gt;60,F17&lt;=90),D17,0)</f>
        <v>0</v>
      </c>
      <c r="K17" s="29" t="n">
        <f aca="false">IF(F17&gt;90,D17,0)</f>
        <v>0</v>
      </c>
      <c r="L17" s="46"/>
    </row>
    <row r="18" customFormat="false" ht="15" hidden="false" customHeight="false" outlineLevel="0" collapsed="false">
      <c r="A18" s="15" t="s">
        <v>1326</v>
      </c>
      <c r="B18" s="15" t="s">
        <v>1327</v>
      </c>
      <c r="C18" s="15" t="s">
        <v>73</v>
      </c>
      <c r="D18" s="103" t="n">
        <v>3636.55</v>
      </c>
      <c r="E18" s="127" t="n">
        <v>46283</v>
      </c>
      <c r="F18" s="128" t="n">
        <f aca="false">MAX(0,$B$4-E18)</f>
        <v>0</v>
      </c>
      <c r="G18" s="29" t="n">
        <f aca="false">IF(E18&gt;=$B$4,D18,0)</f>
        <v>3636.55</v>
      </c>
      <c r="H18" s="29" t="n">
        <f aca="false">IF(AND(F18&gt;=1,F18&lt;=30),D18,0)</f>
        <v>0</v>
      </c>
      <c r="I18" s="29" t="n">
        <f aca="false">IF(AND(F18&gt;30,F18&lt;=60),D18,0)</f>
        <v>0</v>
      </c>
      <c r="J18" s="29" t="n">
        <f aca="false">IF(AND(F18&gt;60,F18&lt;=90),D18,0)</f>
        <v>0</v>
      </c>
      <c r="K18" s="29" t="n">
        <f aca="false">IF(F18&gt;90,D18,0)</f>
        <v>0</v>
      </c>
      <c r="L18" s="46"/>
    </row>
    <row r="19" customFormat="false" ht="15" hidden="false" customHeight="false" outlineLevel="0" collapsed="false">
      <c r="A19" s="15" t="s">
        <v>1328</v>
      </c>
      <c r="B19" s="15" t="s">
        <v>1329</v>
      </c>
      <c r="C19" s="15" t="s">
        <v>73</v>
      </c>
      <c r="D19" s="103" t="n">
        <v>5909.4</v>
      </c>
      <c r="E19" s="127" t="n">
        <v>46283</v>
      </c>
      <c r="F19" s="128" t="n">
        <f aca="false">MAX(0,$B$4-E19)</f>
        <v>0</v>
      </c>
      <c r="G19" s="29" t="n">
        <f aca="false">IF(E19&gt;=$B$4,D19,0)</f>
        <v>5909.4</v>
      </c>
      <c r="H19" s="29" t="n">
        <f aca="false">IF(AND(F19&gt;=1,F19&lt;=30),D19,0)</f>
        <v>0</v>
      </c>
      <c r="I19" s="29" t="n">
        <f aca="false">IF(AND(F19&gt;30,F19&lt;=60),D19,0)</f>
        <v>0</v>
      </c>
      <c r="J19" s="29" t="n">
        <f aca="false">IF(AND(F19&gt;60,F19&lt;=90),D19,0)</f>
        <v>0</v>
      </c>
      <c r="K19" s="29" t="n">
        <f aca="false">IF(F19&gt;90,D19,0)</f>
        <v>0</v>
      </c>
      <c r="L19" s="46"/>
    </row>
    <row r="20" customFormat="false" ht="15" hidden="false" customHeight="false" outlineLevel="0" collapsed="false">
      <c r="A20" s="79" t="s">
        <v>499</v>
      </c>
      <c r="D20" s="80" t="n">
        <f aca="false">SUM(D7:D19)</f>
        <v>289945.09</v>
      </c>
      <c r="G20" s="80" t="n">
        <f aca="false">SUM(G7:G19)</f>
        <v>289945.09</v>
      </c>
      <c r="H20" s="80" t="n">
        <f aca="false">SUM(H7:H19)</f>
        <v>0</v>
      </c>
      <c r="I20" s="80" t="n">
        <f aca="false">SUM(I7:I19)</f>
        <v>0</v>
      </c>
      <c r="J20" s="80" t="n">
        <f aca="false">SUM(J7:J19)</f>
        <v>0</v>
      </c>
      <c r="K20" s="80" t="n">
        <f aca="false">SUM(K7:K19)</f>
        <v>0</v>
      </c>
    </row>
    <row r="21" customFormat="false" ht="15" hidden="false" customHeight="false" outlineLevel="0" collapsed="false">
      <c r="A21" s="14" t="s">
        <v>1291</v>
      </c>
      <c r="G21" s="109" t="n">
        <f aca="false">IF($D$20=0,0,G20/$D$20)</f>
        <v>1</v>
      </c>
      <c r="H21" s="109" t="n">
        <f aca="false">IF($D$20=0,0,H20/$D$20)</f>
        <v>0</v>
      </c>
      <c r="I21" s="109" t="n">
        <f aca="false">IF($D$20=0,0,I20/$D$20)</f>
        <v>0</v>
      </c>
      <c r="J21" s="109" t="n">
        <f aca="false">IF($D$20=0,0,J20/$D$20)</f>
        <v>0</v>
      </c>
      <c r="K21" s="109" t="n">
        <f aca="false">IF($D$20=0,0,K20/$D$20)</f>
        <v>0</v>
      </c>
    </row>
    <row r="23" customFormat="false" ht="15" hidden="false" customHeight="false" outlineLevel="0" collapsed="false">
      <c r="A23" s="5" t="s">
        <v>1330</v>
      </c>
      <c r="D23" s="29" t="n">
        <f aca="false">SUMIFS(D7:D19,C7:C19,"Freelancers")</f>
        <v>25256.17</v>
      </c>
      <c r="E23" s="129" t="s">
        <v>1331</v>
      </c>
      <c r="F23" s="60" t="n">
        <f aca="false">INDEX(Payables!$E$12:$AB$12,Assumptions!$C$10)</f>
        <v>25256.16552</v>
      </c>
      <c r="G23" s="129" t="s">
        <v>1296</v>
      </c>
      <c r="H23" s="36" t="n">
        <f aca="false">ROUND(D23-F23,0)</f>
        <v>0</v>
      </c>
    </row>
    <row r="24" customFormat="false" ht="15" hidden="false" customHeight="false" outlineLevel="0" collapsed="false">
      <c r="A24" s="5" t="s">
        <v>1332</v>
      </c>
      <c r="D24" s="29" t="n">
        <f aca="false">SUMIFS(D7:D19,C7:C19,"Media platforms")</f>
        <v>235049.15</v>
      </c>
      <c r="E24" s="129" t="s">
        <v>1331</v>
      </c>
      <c r="F24" s="60" t="n">
        <f aca="false">INDEX(Payables!$E$17:$AB$17,Assumptions!$C$10)</f>
        <v>235049.153180087</v>
      </c>
      <c r="G24" s="129" t="s">
        <v>1296</v>
      </c>
      <c r="H24" s="36" t="n">
        <f aca="false">ROUND(D24-F24,0)</f>
        <v>-0</v>
      </c>
    </row>
    <row r="25" customFormat="false" ht="15" hidden="false" customHeight="false" outlineLevel="0" collapsed="false">
      <c r="A25" s="5" t="s">
        <v>1333</v>
      </c>
      <c r="D25" s="29" t="n">
        <f aca="false">SUMIFS(D7:D19,C7:C19,"Production suppliers")</f>
        <v>6911.34</v>
      </c>
      <c r="E25" s="129" t="s">
        <v>1331</v>
      </c>
      <c r="F25" s="60" t="n">
        <f aca="false">INDEX(Payables!$E$22:$AB$22,Assumptions!$C$10)</f>
        <v>6911.34</v>
      </c>
      <c r="G25" s="129" t="s">
        <v>1296</v>
      </c>
      <c r="H25" s="36" t="n">
        <f aca="false">ROUND(D25-F25,0)</f>
        <v>0</v>
      </c>
    </row>
    <row r="26" customFormat="false" ht="15" hidden="false" customHeight="false" outlineLevel="0" collapsed="false">
      <c r="A26" s="5" t="s">
        <v>1334</v>
      </c>
      <c r="D26" s="29" t="n">
        <f aca="false">SUMIFS(D7:D19,C7:C19,"Overheads")</f>
        <v>22728.43</v>
      </c>
      <c r="E26" s="129" t="s">
        <v>1331</v>
      </c>
      <c r="F26" s="60" t="n">
        <f aca="false">INDEX(Payables!$E$27:$AB$27,Assumptions!$C$10)</f>
        <v>22728.426</v>
      </c>
      <c r="G26" s="129" t="s">
        <v>1296</v>
      </c>
      <c r="H26" s="36" t="n">
        <f aca="false">ROUND(D26-F26,0)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1335</v>
      </c>
    </row>
    <row r="3" customFormat="false" ht="15" hidden="false" customHeight="false" outlineLevel="0" collapsed="false">
      <c r="A3" s="49" t="s">
        <v>1336</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1337</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1338</v>
      </c>
      <c r="B9" s="58"/>
      <c r="C9" s="59" t="n">
        <f aca="false">SUM(E9:P9)</f>
        <v>190348.145486835</v>
      </c>
      <c r="D9" s="59" t="n">
        <f aca="false">SUM(Q9:AB9)</f>
        <v>93383.6501889863</v>
      </c>
      <c r="E9" s="60" t="n">
        <f aca="false">Utilisation!E84*(1+Assumptions!$C$18*Assumptions!$C$26)</f>
        <v>5548.86168</v>
      </c>
      <c r="F9" s="60" t="n">
        <f aca="false">Utilisation!F84*(1+Assumptions!$C$18*Assumptions!$C$26)</f>
        <v>6489.61328</v>
      </c>
      <c r="G9" s="60" t="n">
        <f aca="false">Utilisation!G84*(1+Assumptions!$C$18*Assumptions!$C$26)</f>
        <v>5617.2192</v>
      </c>
      <c r="H9" s="60" t="n">
        <f aca="false">Utilisation!H84*(1+Assumptions!$C$18*Assumptions!$C$26)</f>
        <v>7159.63096</v>
      </c>
      <c r="I9" s="60" t="n">
        <f aca="false">Utilisation!I84*(1+Assumptions!$C$18*Assumptions!$C$26)</f>
        <v>5710.13808</v>
      </c>
      <c r="J9" s="60" t="n">
        <f aca="false">Utilisation!J84*(1+Assumptions!$C$18*Assumptions!$C$26)</f>
        <v>27987.73</v>
      </c>
      <c r="K9" s="60" t="n">
        <f aca="false">Utilisation!K84*(1+Assumptions!$C$18*Assumptions!$C$26)</f>
        <v>65413.13792</v>
      </c>
      <c r="L9" s="60" t="n">
        <f aca="false">Utilisation!L84*(1+Assumptions!$C$18*Assumptions!$C$26)</f>
        <v>35594.1344</v>
      </c>
      <c r="M9" s="60" t="n">
        <f aca="false">Utilisation!M84*(1+Assumptions!$C$18*Assumptions!$C$26)</f>
        <v>12743.6799668347</v>
      </c>
      <c r="N9" s="60" t="n">
        <f aca="false">Utilisation!N84*(1+Assumptions!$C$18*Assumptions!$C$26)</f>
        <v>6028</v>
      </c>
      <c r="O9" s="60" t="n">
        <f aca="false">Utilisation!O84*(1+Assumptions!$C$18*Assumptions!$C$26)</f>
        <v>6028</v>
      </c>
      <c r="P9" s="60" t="n">
        <f aca="false">Utilisation!P84*(1+Assumptions!$C$18*Assumptions!$C$26)</f>
        <v>6028</v>
      </c>
      <c r="Q9" s="60" t="n">
        <f aca="false">Utilisation!Q84*(1+Assumptions!$C$18*Assumptions!$C$26)</f>
        <v>6299.26</v>
      </c>
      <c r="R9" s="60" t="n">
        <f aca="false">Utilisation!R84*(1+Assumptions!$C$18*Assumptions!$C$26)</f>
        <v>6299.26</v>
      </c>
      <c r="S9" s="60" t="n">
        <f aca="false">Utilisation!S84*(1+Assumptions!$C$18*Assumptions!$C$26)</f>
        <v>6299.26</v>
      </c>
      <c r="T9" s="60" t="n">
        <f aca="false">Utilisation!T84*(1+Assumptions!$C$18*Assumptions!$C$26)</f>
        <v>6299.26</v>
      </c>
      <c r="U9" s="60" t="n">
        <f aca="false">Utilisation!U84*(1+Assumptions!$C$18*Assumptions!$C$26)</f>
        <v>6299.26</v>
      </c>
      <c r="V9" s="60" t="n">
        <f aca="false">Utilisation!V84*(1+Assumptions!$C$18*Assumptions!$C$26)</f>
        <v>6299.26</v>
      </c>
      <c r="W9" s="60" t="n">
        <f aca="false">Utilisation!W84*(1+Assumptions!$C$18*Assumptions!$C$26)</f>
        <v>24091.7901889863</v>
      </c>
      <c r="X9" s="60" t="n">
        <f aca="false">Utilisation!X84*(1+Assumptions!$C$18*Assumptions!$C$26)</f>
        <v>6299.26</v>
      </c>
      <c r="Y9" s="60" t="n">
        <f aca="false">Utilisation!Y84*(1+Assumptions!$C$18*Assumptions!$C$26)</f>
        <v>6299.26</v>
      </c>
      <c r="Z9" s="60" t="n">
        <f aca="false">Utilisation!Z84*(1+Assumptions!$C$18*Assumptions!$C$26)</f>
        <v>6299.26</v>
      </c>
      <c r="AA9" s="60" t="n">
        <f aca="false">Utilisation!AA84*(1+Assumptions!$C$18*Assumptions!$C$26)</f>
        <v>6299.26</v>
      </c>
      <c r="AB9" s="60" t="n">
        <f aca="false">Utilisation!AB84*(1+Assumptions!$C$18*Assumptions!$C$26)</f>
        <v>6299.26</v>
      </c>
    </row>
    <row r="10" customFormat="false" ht="15" hidden="false" customHeight="false" outlineLevel="0" collapsed="false">
      <c r="A10" s="28" t="s">
        <v>1339</v>
      </c>
      <c r="B10" s="58"/>
      <c r="E10" s="60" t="n">
        <f aca="false">Inputs_Actuals!$C$185</f>
        <v>21400</v>
      </c>
      <c r="F10" s="71" t="n">
        <f aca="false">E12</f>
        <v>3639.15168</v>
      </c>
      <c r="G10" s="71" t="n">
        <f aca="false">F12</f>
        <v>4316.46496</v>
      </c>
      <c r="H10" s="71" t="n">
        <f aca="false">G12</f>
        <v>3396.72416</v>
      </c>
      <c r="I10" s="71" t="n">
        <f aca="false">H12</f>
        <v>4501.83512</v>
      </c>
      <c r="J10" s="71" t="n">
        <f aca="false">I12</f>
        <v>3824.9532</v>
      </c>
      <c r="K10" s="71" t="n">
        <f aca="false">J12</f>
        <v>20329.9532</v>
      </c>
      <c r="L10" s="71" t="n">
        <f aca="false">K12</f>
        <v>47535.25112</v>
      </c>
      <c r="M10" s="71" t="n">
        <f aca="false">L12</f>
        <v>25256.16552</v>
      </c>
      <c r="N10" s="71" t="n">
        <f aca="false">M12</f>
        <v>8495.78664455646</v>
      </c>
      <c r="O10" s="71" t="n">
        <f aca="false">N12</f>
        <v>4018.66666666667</v>
      </c>
      <c r="P10" s="71" t="n">
        <f aca="false">O12</f>
        <v>4018.66666666667</v>
      </c>
      <c r="Q10" s="71" t="n">
        <f aca="false">P12</f>
        <v>4018.66666666667</v>
      </c>
      <c r="R10" s="71" t="n">
        <f aca="false">Q12</f>
        <v>4199.50666666667</v>
      </c>
      <c r="S10" s="71" t="n">
        <f aca="false">R12</f>
        <v>4199.50666666667</v>
      </c>
      <c r="T10" s="71" t="n">
        <f aca="false">S12</f>
        <v>4199.50666666667</v>
      </c>
      <c r="U10" s="71" t="n">
        <f aca="false">T12</f>
        <v>4199.50666666667</v>
      </c>
      <c r="V10" s="71" t="n">
        <f aca="false">U12</f>
        <v>4199.50666666667</v>
      </c>
      <c r="W10" s="71" t="n">
        <f aca="false">V12</f>
        <v>4199.50666666667</v>
      </c>
      <c r="X10" s="71" t="n">
        <f aca="false">W12</f>
        <v>16061.1934593242</v>
      </c>
      <c r="Y10" s="71" t="n">
        <f aca="false">X12</f>
        <v>4199.50666666667</v>
      </c>
      <c r="Z10" s="71" t="n">
        <f aca="false">Y12</f>
        <v>4199.50666666667</v>
      </c>
      <c r="AA10" s="71" t="n">
        <f aca="false">Z12</f>
        <v>4199.50666666667</v>
      </c>
      <c r="AB10" s="71" t="n">
        <f aca="false">AA12</f>
        <v>4199.50666666667</v>
      </c>
    </row>
    <row r="11" customFormat="false" ht="15" hidden="false" customHeight="false" outlineLevel="0" collapsed="false">
      <c r="A11" s="28" t="s">
        <v>1340</v>
      </c>
      <c r="B11" s="58" t="s">
        <v>1341</v>
      </c>
      <c r="C11" s="59" t="n">
        <f aca="false">SUM(E11:P11)</f>
        <v>207729.478820168</v>
      </c>
      <c r="D11" s="59" t="n">
        <f aca="false">SUM(Q11:AB11)</f>
        <v>93202.8101889863</v>
      </c>
      <c r="E11" s="60" t="n">
        <f aca="false">IF(E$5="A",Inputs_Actuals!E172,E10+E9-(E9*MIN(1,Assumptions!$C$88/30)+0*MIN(1,MAX(0,(Assumptions!$C$88-30)/30))))</f>
        <v>23309.71</v>
      </c>
      <c r="F11" s="60" t="n">
        <f aca="false">IF(F$5="A",Inputs_Actuals!F172,F10+F9-(F9*MIN(1,Assumptions!$C$88/30)+E9*MIN(1,MAX(0,(Assumptions!$C$88-30)/30))))</f>
        <v>5812.3</v>
      </c>
      <c r="G11" s="60" t="n">
        <f aca="false">IF(G$5="A",Inputs_Actuals!G172,G10+G9-(G9*MIN(1,Assumptions!$C$88/30)+F9*MIN(1,MAX(0,(Assumptions!$C$88-30)/30))))</f>
        <v>6536.96</v>
      </c>
      <c r="H11" s="60" t="n">
        <f aca="false">IF(H$5="A",Inputs_Actuals!H172,H10+H9-(H9*MIN(1,Assumptions!$C$88/30)+G9*MIN(1,MAX(0,(Assumptions!$C$88-30)/30))))</f>
        <v>6054.52</v>
      </c>
      <c r="I11" s="60" t="n">
        <f aca="false">IF(I$5="A",Inputs_Actuals!I172,I10+I9-(I9*MIN(1,Assumptions!$C$88/30)+H9*MIN(1,MAX(0,(Assumptions!$C$88-30)/30))))</f>
        <v>6387.02</v>
      </c>
      <c r="J11" s="60" t="n">
        <f aca="false">IF(J$5="A",Inputs_Actuals!J172,J10+J9-(J9*MIN(1,Assumptions!$C$88/30)+I9*MIN(1,MAX(0,(Assumptions!$C$88-30)/30))))</f>
        <v>11482.73</v>
      </c>
      <c r="K11" s="60" t="n">
        <f aca="false">IF(K$5="A",Inputs_Actuals!K172,K10+K9-(K9*MIN(1,Assumptions!$C$88/30)+J9*MIN(1,MAX(0,(Assumptions!$C$88-30)/30))))</f>
        <v>38207.84</v>
      </c>
      <c r="L11" s="60" t="n">
        <f aca="false">IF(L$5="A",Inputs_Actuals!L172,L10+L9-(L9*MIN(1,Assumptions!$C$88/30)+K9*MIN(1,MAX(0,(Assumptions!$C$88-30)/30))))</f>
        <v>57873.22</v>
      </c>
      <c r="M11" s="60" t="n">
        <f aca="false">IF(M$5="A",Inputs_Actuals!M172,M10+M9-(M9*MIN(1,Assumptions!$C$88/30)+L9*MIN(1,MAX(0,(Assumptions!$C$88-30)/30))))</f>
        <v>29504.0588422782</v>
      </c>
      <c r="N11" s="60" t="n">
        <f aca="false">IF(N$5="A",Inputs_Actuals!N172,N10+N9-(N9*MIN(1,Assumptions!$C$88/30)+M9*MIN(1,MAX(0,(Assumptions!$C$88-30)/30))))</f>
        <v>10505.1199778898</v>
      </c>
      <c r="O11" s="60" t="n">
        <f aca="false">IF(O$5="A",Inputs_Actuals!O172,O10+O9-(O9*MIN(1,Assumptions!$C$88/30)+N9*MIN(1,MAX(0,(Assumptions!$C$88-30)/30))))</f>
        <v>6028</v>
      </c>
      <c r="P11" s="60" t="n">
        <f aca="false">IF(P$5="A",Inputs_Actuals!P172,P10+P9-(P9*MIN(1,Assumptions!$C$88/30)+O9*MIN(1,MAX(0,(Assumptions!$C$88-30)/30))))</f>
        <v>6028</v>
      </c>
      <c r="Q11" s="60" t="n">
        <f aca="false">IF(Q$5="A",Inputs_Actuals!Q172,Q10+Q9-(Q9*MIN(1,Assumptions!$C$88/30)+P9*MIN(1,MAX(0,(Assumptions!$C$88-30)/30))))</f>
        <v>6118.42</v>
      </c>
      <c r="R11" s="60" t="n">
        <f aca="false">IF(R$5="A",Inputs_Actuals!R172,R10+R9-(R9*MIN(1,Assumptions!$C$88/30)+Q9*MIN(1,MAX(0,(Assumptions!$C$88-30)/30))))</f>
        <v>6299.26</v>
      </c>
      <c r="S11" s="60" t="n">
        <f aca="false">IF(S$5="A",Inputs_Actuals!S172,S10+S9-(S9*MIN(1,Assumptions!$C$88/30)+R9*MIN(1,MAX(0,(Assumptions!$C$88-30)/30))))</f>
        <v>6299.26</v>
      </c>
      <c r="T11" s="60" t="n">
        <f aca="false">IF(T$5="A",Inputs_Actuals!T172,T10+T9-(T9*MIN(1,Assumptions!$C$88/30)+S9*MIN(1,MAX(0,(Assumptions!$C$88-30)/30))))</f>
        <v>6299.26</v>
      </c>
      <c r="U11" s="60" t="n">
        <f aca="false">IF(U$5="A",Inputs_Actuals!U172,U10+U9-(U9*MIN(1,Assumptions!$C$88/30)+T9*MIN(1,MAX(0,(Assumptions!$C$88-30)/30))))</f>
        <v>6299.26</v>
      </c>
      <c r="V11" s="60" t="n">
        <f aca="false">IF(V$5="A",Inputs_Actuals!V172,V10+V9-(V9*MIN(1,Assumptions!$C$88/30)+U9*MIN(1,MAX(0,(Assumptions!$C$88-30)/30))))</f>
        <v>6299.26</v>
      </c>
      <c r="W11" s="60" t="n">
        <f aca="false">IF(W$5="A",Inputs_Actuals!W172,W10+W9-(W9*MIN(1,Assumptions!$C$88/30)+V9*MIN(1,MAX(0,(Assumptions!$C$88-30)/30))))</f>
        <v>12230.1033963288</v>
      </c>
      <c r="X11" s="60" t="n">
        <f aca="false">IF(X$5="A",Inputs_Actuals!X172,X10+X9-(X9*MIN(1,Assumptions!$C$88/30)+W9*MIN(1,MAX(0,(Assumptions!$C$88-30)/30))))</f>
        <v>18160.9467926575</v>
      </c>
      <c r="Y11" s="60" t="n">
        <f aca="false">IF(Y$5="A",Inputs_Actuals!Y172,Y10+Y9-(Y9*MIN(1,Assumptions!$C$88/30)+X9*MIN(1,MAX(0,(Assumptions!$C$88-30)/30))))</f>
        <v>6299.26</v>
      </c>
      <c r="Z11" s="60" t="n">
        <f aca="false">IF(Z$5="A",Inputs_Actuals!Z172,Z10+Z9-(Z9*MIN(1,Assumptions!$C$88/30)+Y9*MIN(1,MAX(0,(Assumptions!$C$88-30)/30))))</f>
        <v>6299.26</v>
      </c>
      <c r="AA11" s="60" t="n">
        <f aca="false">IF(AA$5="A",Inputs_Actuals!AA172,AA10+AA9-(AA9*MIN(1,Assumptions!$C$88/30)+Z9*MIN(1,MAX(0,(Assumptions!$C$88-30)/30))))</f>
        <v>6299.26</v>
      </c>
      <c r="AB11" s="60" t="n">
        <f aca="false">IF(AB$5="A",Inputs_Actuals!AB172,AB10+AB9-(AB9*MIN(1,Assumptions!$C$88/30)+AA9*MIN(1,MAX(0,(Assumptions!$C$88-30)/30))))</f>
        <v>6299.26</v>
      </c>
    </row>
    <row r="12" customFormat="false" ht="15" hidden="false" customHeight="false" outlineLevel="0" collapsed="false">
      <c r="A12" s="68" t="s">
        <v>1342</v>
      </c>
      <c r="B12" s="69"/>
      <c r="C12" s="70" t="n">
        <f aca="false">P12</f>
        <v>4018.66666666667</v>
      </c>
      <c r="D12" s="70" t="n">
        <f aca="false">AB12</f>
        <v>4199.50666666667</v>
      </c>
      <c r="E12" s="70" t="n">
        <f aca="false">E10+E9-E11</f>
        <v>3639.15168</v>
      </c>
      <c r="F12" s="70" t="n">
        <f aca="false">F10+F9-F11</f>
        <v>4316.46496</v>
      </c>
      <c r="G12" s="70" t="n">
        <f aca="false">G10+G9-G11</f>
        <v>3396.72416</v>
      </c>
      <c r="H12" s="70" t="n">
        <f aca="false">H10+H9-H11</f>
        <v>4501.83512</v>
      </c>
      <c r="I12" s="70" t="n">
        <f aca="false">I10+I9-I11</f>
        <v>3824.9532</v>
      </c>
      <c r="J12" s="70" t="n">
        <f aca="false">J10+J9-J11</f>
        <v>20329.9532</v>
      </c>
      <c r="K12" s="70" t="n">
        <f aca="false">K10+K9-K11</f>
        <v>47535.25112</v>
      </c>
      <c r="L12" s="70" t="n">
        <f aca="false">L10+L9-L11</f>
        <v>25256.16552</v>
      </c>
      <c r="M12" s="70" t="n">
        <f aca="false">M10+M9-M11</f>
        <v>8495.78664455646</v>
      </c>
      <c r="N12" s="70" t="n">
        <f aca="false">N10+N9-N11</f>
        <v>4018.66666666667</v>
      </c>
      <c r="O12" s="70" t="n">
        <f aca="false">O10+O9-O11</f>
        <v>4018.66666666667</v>
      </c>
      <c r="P12" s="70" t="n">
        <f aca="false">P10+P9-P11</f>
        <v>4018.66666666667</v>
      </c>
      <c r="Q12" s="70" t="n">
        <f aca="false">Q10+Q9-Q11</f>
        <v>4199.50666666667</v>
      </c>
      <c r="R12" s="70" t="n">
        <f aca="false">R10+R9-R11</f>
        <v>4199.50666666667</v>
      </c>
      <c r="S12" s="70" t="n">
        <f aca="false">S10+S9-S11</f>
        <v>4199.50666666667</v>
      </c>
      <c r="T12" s="70" t="n">
        <f aca="false">T10+T9-T11</f>
        <v>4199.50666666667</v>
      </c>
      <c r="U12" s="70" t="n">
        <f aca="false">U10+U9-U11</f>
        <v>4199.50666666667</v>
      </c>
      <c r="V12" s="70" t="n">
        <f aca="false">V10+V9-V11</f>
        <v>4199.50666666667</v>
      </c>
      <c r="W12" s="70" t="n">
        <f aca="false">W10+W9-W11</f>
        <v>16061.1934593242</v>
      </c>
      <c r="X12" s="70" t="n">
        <f aca="false">X10+X9-X11</f>
        <v>4199.50666666667</v>
      </c>
      <c r="Y12" s="70" t="n">
        <f aca="false">Y10+Y9-Y11</f>
        <v>4199.50666666667</v>
      </c>
      <c r="Z12" s="70" t="n">
        <f aca="false">Z10+Z9-Z11</f>
        <v>4199.50666666667</v>
      </c>
      <c r="AA12" s="70" t="n">
        <f aca="false">AA10+AA9-AA11</f>
        <v>4199.50666666667</v>
      </c>
      <c r="AB12" s="70" t="n">
        <f aca="false">AB10+AB9-AB11</f>
        <v>4199.50666666667</v>
      </c>
    </row>
    <row r="13" customFormat="false" ht="15" hidden="false" customHeight="false" outlineLevel="0" collapsed="false">
      <c r="A13" s="22" t="s">
        <v>1343</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false" outlineLevel="0" collapsed="false">
      <c r="A14" s="28" t="s">
        <v>1338</v>
      </c>
      <c r="B14" s="58"/>
      <c r="C14" s="59" t="n">
        <f aca="false">SUM(E14:P14)</f>
        <v>2843386.04554491</v>
      </c>
      <c r="D14" s="59" t="n">
        <f aca="false">SUM(Q14:AB14)</f>
        <v>2622087.00058067</v>
      </c>
      <c r="E14" s="60" t="n">
        <f aca="false">FX!E68</f>
        <v>197458.804184592</v>
      </c>
      <c r="F14" s="60" t="n">
        <f aca="false">FX!F68</f>
        <v>195290.574677948</v>
      </c>
      <c r="G14" s="60" t="n">
        <f aca="false">FX!G68</f>
        <v>219059.502541731</v>
      </c>
      <c r="H14" s="60" t="n">
        <f aca="false">FX!H68</f>
        <v>241000.88979419</v>
      </c>
      <c r="I14" s="60" t="n">
        <f aca="false">FX!I68</f>
        <v>234907.794493685</v>
      </c>
      <c r="J14" s="60" t="n">
        <f aca="false">FX!J68</f>
        <v>223392.85069</v>
      </c>
      <c r="K14" s="60" t="n">
        <f aca="false">FX!K68</f>
        <v>214762.265464155</v>
      </c>
      <c r="L14" s="60" t="n">
        <f aca="false">FX!L68</f>
        <v>230207.131333784</v>
      </c>
      <c r="M14" s="60" t="n">
        <f aca="false">FX!M68</f>
        <v>233829.297282758</v>
      </c>
      <c r="N14" s="60" t="n">
        <f aca="false">FX!N68</f>
        <v>257212.227011034</v>
      </c>
      <c r="O14" s="60" t="n">
        <f aca="false">FX!O68</f>
        <v>315669.551331724</v>
      </c>
      <c r="P14" s="60" t="n">
        <f aca="false">FX!P68</f>
        <v>280595.15673931</v>
      </c>
      <c r="Q14" s="60" t="n">
        <f aca="false">FX!Q68</f>
        <v>197819.902690345</v>
      </c>
      <c r="R14" s="60" t="n">
        <f aca="false">FX!R68</f>
        <v>197819.902690345</v>
      </c>
      <c r="S14" s="60" t="n">
        <f aca="false">FX!S68</f>
        <v>216817.83241862</v>
      </c>
      <c r="T14" s="60" t="n">
        <f aca="false">FX!T68</f>
        <v>221807.664553448</v>
      </c>
      <c r="U14" s="60" t="n">
        <f aca="false">FX!U68</f>
        <v>221807.664553448</v>
      </c>
      <c r="V14" s="60" t="n">
        <f aca="false">FX!V68</f>
        <v>210717.281325775</v>
      </c>
      <c r="W14" s="60" t="n">
        <f aca="false">FX!W68</f>
        <v>181939.41242131</v>
      </c>
      <c r="X14" s="60" t="n">
        <f aca="false">FX!X68</f>
        <v>192641.730799034</v>
      </c>
      <c r="Y14" s="60" t="n">
        <f aca="false">FX!Y68</f>
        <v>214046.367554482</v>
      </c>
      <c r="Z14" s="60" t="n">
        <f aca="false">FX!Z68</f>
        <v>231051.004309931</v>
      </c>
      <c r="AA14" s="60" t="n">
        <f aca="false">FX!AA68</f>
        <v>283562.596198551</v>
      </c>
      <c r="AB14" s="60" t="n">
        <f aca="false">FX!AB68</f>
        <v>252055.641065379</v>
      </c>
    </row>
    <row r="15" customFormat="false" ht="15" hidden="false" customHeight="false" outlineLevel="0" collapsed="false">
      <c r="A15" s="28" t="s">
        <v>1339</v>
      </c>
      <c r="B15" s="58"/>
      <c r="E15" s="60" t="n">
        <f aca="false">Inputs_Actuals!$C$186</f>
        <v>158000</v>
      </c>
      <c r="F15" s="71" t="n">
        <f aca="false">E17</f>
        <v>194945.434184592</v>
      </c>
      <c r="G15" s="71" t="n">
        <f aca="false">F17</f>
        <v>195930.65886254</v>
      </c>
      <c r="H15" s="71" t="n">
        <f aca="false">G17</f>
        <v>220130.661404271</v>
      </c>
      <c r="I15" s="71" t="n">
        <f aca="false">H17</f>
        <v>250998.921198462</v>
      </c>
      <c r="J15" s="71" t="n">
        <f aca="false">I17</f>
        <v>242339.525692147</v>
      </c>
      <c r="K15" s="71" t="n">
        <f aca="false">J17</f>
        <v>209936.066382147</v>
      </c>
      <c r="L15" s="71" t="n">
        <f aca="false">K17</f>
        <v>192424.621846302</v>
      </c>
      <c r="M15" s="71" t="n">
        <f aca="false">L17</f>
        <v>235049.153180087</v>
      </c>
      <c r="N15" s="71" t="n">
        <f aca="false">M17</f>
        <v>233829.297282758</v>
      </c>
      <c r="O15" s="71" t="n">
        <f aca="false">N17</f>
        <v>257212.227011034</v>
      </c>
      <c r="P15" s="71" t="n">
        <f aca="false">O17</f>
        <v>315669.551331724</v>
      </c>
      <c r="Q15" s="71" t="n">
        <f aca="false">P17</f>
        <v>280595.15673931</v>
      </c>
      <c r="R15" s="71" t="n">
        <f aca="false">Q17</f>
        <v>197819.902690345</v>
      </c>
      <c r="S15" s="71" t="n">
        <f aca="false">R17</f>
        <v>197819.902690345</v>
      </c>
      <c r="T15" s="71" t="n">
        <f aca="false">S17</f>
        <v>216817.83241862</v>
      </c>
      <c r="U15" s="71" t="n">
        <f aca="false">T17</f>
        <v>221807.664553448</v>
      </c>
      <c r="V15" s="71" t="n">
        <f aca="false">U17</f>
        <v>221807.664553448</v>
      </c>
      <c r="W15" s="71" t="n">
        <f aca="false">V17</f>
        <v>210717.281325775</v>
      </c>
      <c r="X15" s="71" t="n">
        <f aca="false">W17</f>
        <v>181939.41242131</v>
      </c>
      <c r="Y15" s="71" t="n">
        <f aca="false">X17</f>
        <v>192641.730799034</v>
      </c>
      <c r="Z15" s="71" t="n">
        <f aca="false">Y17</f>
        <v>214046.367554482</v>
      </c>
      <c r="AA15" s="71" t="n">
        <f aca="false">Z17</f>
        <v>231051.004309931</v>
      </c>
      <c r="AB15" s="71" t="n">
        <f aca="false">AA17</f>
        <v>283562.596198551</v>
      </c>
    </row>
    <row r="16" customFormat="false" ht="15" hidden="false" customHeight="false" outlineLevel="0" collapsed="false">
      <c r="A16" s="28" t="s">
        <v>1340</v>
      </c>
      <c r="B16" s="58" t="s">
        <v>1341</v>
      </c>
      <c r="C16" s="59" t="n">
        <f aca="false">SUM(E16:P16)</f>
        <v>2720790.8888056</v>
      </c>
      <c r="D16" s="59" t="n">
        <f aca="false">SUM(Q16:AB16)</f>
        <v>2650626.5162546</v>
      </c>
      <c r="E16" s="60" t="n">
        <f aca="false">IF(E$5="A",Inputs_Actuals!E173,E15+E14-(E14*MIN(1,Assumptions!$C$89/30)+0*MIN(1,MAX(0,(Assumptions!$C$89-30)/30))))</f>
        <v>160513.37</v>
      </c>
      <c r="F16" s="60" t="n">
        <f aca="false">IF(F$5="A",Inputs_Actuals!F173,F15+F14-(F14*MIN(1,Assumptions!$C$89/30)+E14*MIN(1,MAX(0,(Assumptions!$C$89-30)/30))))</f>
        <v>194305.35</v>
      </c>
      <c r="G16" s="60" t="n">
        <f aca="false">IF(G$5="A",Inputs_Actuals!G173,G15+G14-(G14*MIN(1,Assumptions!$C$89/30)+F14*MIN(1,MAX(0,(Assumptions!$C$89-30)/30))))</f>
        <v>194859.5</v>
      </c>
      <c r="H16" s="60" t="n">
        <f aca="false">IF(H$5="A",Inputs_Actuals!H173,H15+H14-(H14*MIN(1,Assumptions!$C$89/30)+G14*MIN(1,MAX(0,(Assumptions!$C$89-30)/30))))</f>
        <v>210132.63</v>
      </c>
      <c r="I16" s="60" t="n">
        <f aca="false">IF(I$5="A",Inputs_Actuals!I173,I15+I14-(I14*MIN(1,Assumptions!$C$89/30)+H14*MIN(1,MAX(0,(Assumptions!$C$89-30)/30))))</f>
        <v>243567.19</v>
      </c>
      <c r="J16" s="60" t="n">
        <f aca="false">IF(J$5="A",Inputs_Actuals!J173,J15+J14-(J14*MIN(1,Assumptions!$C$89/30)+I14*MIN(1,MAX(0,(Assumptions!$C$89-30)/30))))</f>
        <v>255796.31</v>
      </c>
      <c r="K16" s="60" t="n">
        <f aca="false">IF(K$5="A",Inputs_Actuals!K173,K15+K14-(K14*MIN(1,Assumptions!$C$89/30)+J14*MIN(1,MAX(0,(Assumptions!$C$89-30)/30))))</f>
        <v>232273.71</v>
      </c>
      <c r="L16" s="60" t="n">
        <f aca="false">IF(L$5="A",Inputs_Actuals!L173,L15+L14-(L14*MIN(1,Assumptions!$C$89/30)+K14*MIN(1,MAX(0,(Assumptions!$C$89-30)/30))))</f>
        <v>187582.6</v>
      </c>
      <c r="M16" s="60" t="n">
        <f aca="false">IF(M$5="A",Inputs_Actuals!M173,M15+M14-(M14*MIN(1,Assumptions!$C$89/30)+L14*MIN(1,MAX(0,(Assumptions!$C$89-30)/30))))</f>
        <v>235049.153180087</v>
      </c>
      <c r="N16" s="60" t="n">
        <f aca="false">IF(N$5="A",Inputs_Actuals!N173,N15+N14-(N14*MIN(1,Assumptions!$C$89/30)+M14*MIN(1,MAX(0,(Assumptions!$C$89-30)/30))))</f>
        <v>233829.297282758</v>
      </c>
      <c r="O16" s="60" t="n">
        <f aca="false">IF(O$5="A",Inputs_Actuals!O173,O15+O14-(O14*MIN(1,Assumptions!$C$89/30)+N14*MIN(1,MAX(0,(Assumptions!$C$89-30)/30))))</f>
        <v>257212.227011034</v>
      </c>
      <c r="P16" s="60" t="n">
        <f aca="false">IF(P$5="A",Inputs_Actuals!P173,P15+P14-(P14*MIN(1,Assumptions!$C$89/30)+O14*MIN(1,MAX(0,(Assumptions!$C$89-30)/30))))</f>
        <v>315669.551331724</v>
      </c>
      <c r="Q16" s="60" t="n">
        <f aca="false">IF(Q$5="A",Inputs_Actuals!Q173,Q15+Q14-(Q14*MIN(1,Assumptions!$C$89/30)+P14*MIN(1,MAX(0,(Assumptions!$C$89-30)/30))))</f>
        <v>280595.15673931</v>
      </c>
      <c r="R16" s="60" t="n">
        <f aca="false">IF(R$5="A",Inputs_Actuals!R173,R15+R14-(R14*MIN(1,Assumptions!$C$89/30)+Q14*MIN(1,MAX(0,(Assumptions!$C$89-30)/30))))</f>
        <v>197819.902690344</v>
      </c>
      <c r="S16" s="60" t="n">
        <f aca="false">IF(S$5="A",Inputs_Actuals!S173,S15+S14-(S14*MIN(1,Assumptions!$C$89/30)+R14*MIN(1,MAX(0,(Assumptions!$C$89-30)/30))))</f>
        <v>197819.902690345</v>
      </c>
      <c r="T16" s="60" t="n">
        <f aca="false">IF(T$5="A",Inputs_Actuals!T173,T15+T14-(T14*MIN(1,Assumptions!$C$89/30)+S14*MIN(1,MAX(0,(Assumptions!$C$89-30)/30))))</f>
        <v>216817.83241862</v>
      </c>
      <c r="U16" s="60" t="n">
        <f aca="false">IF(U$5="A",Inputs_Actuals!U173,U15+U14-(U14*MIN(1,Assumptions!$C$89/30)+T14*MIN(1,MAX(0,(Assumptions!$C$89-30)/30))))</f>
        <v>221807.664553448</v>
      </c>
      <c r="V16" s="60" t="n">
        <f aca="false">IF(V$5="A",Inputs_Actuals!V173,V15+V14-(V14*MIN(1,Assumptions!$C$89/30)+U14*MIN(1,MAX(0,(Assumptions!$C$89-30)/30))))</f>
        <v>221807.664553448</v>
      </c>
      <c r="W16" s="60" t="n">
        <f aca="false">IF(W$5="A",Inputs_Actuals!W173,W15+W14-(W14*MIN(1,Assumptions!$C$89/30)+V14*MIN(1,MAX(0,(Assumptions!$C$89-30)/30))))</f>
        <v>210717.281325775</v>
      </c>
      <c r="X16" s="60" t="n">
        <f aca="false">IF(X$5="A",Inputs_Actuals!X173,X15+X14-(X14*MIN(1,Assumptions!$C$89/30)+W14*MIN(1,MAX(0,(Assumptions!$C$89-30)/30))))</f>
        <v>181939.41242131</v>
      </c>
      <c r="Y16" s="60" t="n">
        <f aca="false">IF(Y$5="A",Inputs_Actuals!Y173,Y15+Y14-(Y14*MIN(1,Assumptions!$C$89/30)+X14*MIN(1,MAX(0,(Assumptions!$C$89-30)/30))))</f>
        <v>192641.730799034</v>
      </c>
      <c r="Z16" s="60" t="n">
        <f aca="false">IF(Z$5="A",Inputs_Actuals!Z173,Z15+Z14-(Z14*MIN(1,Assumptions!$C$89/30)+Y14*MIN(1,MAX(0,(Assumptions!$C$89-30)/30))))</f>
        <v>214046.367554482</v>
      </c>
      <c r="AA16" s="60" t="n">
        <f aca="false">IF(AA$5="A",Inputs_Actuals!AA173,AA15+AA14-(AA14*MIN(1,Assumptions!$C$89/30)+Z14*MIN(1,MAX(0,(Assumptions!$C$89-30)/30))))</f>
        <v>231051.004309931</v>
      </c>
      <c r="AB16" s="60" t="n">
        <f aca="false">IF(AB$5="A",Inputs_Actuals!AB173,AB15+AB14-(AB14*MIN(1,Assumptions!$C$89/30)+AA14*MIN(1,MAX(0,(Assumptions!$C$89-30)/30))))</f>
        <v>283562.596198551</v>
      </c>
    </row>
    <row r="17" customFormat="false" ht="15" hidden="false" customHeight="false" outlineLevel="0" collapsed="false">
      <c r="A17" s="68" t="s">
        <v>1342</v>
      </c>
      <c r="B17" s="69"/>
      <c r="C17" s="70" t="n">
        <f aca="false">P17</f>
        <v>280595.15673931</v>
      </c>
      <c r="D17" s="70" t="n">
        <f aca="false">AB17</f>
        <v>252055.641065379</v>
      </c>
      <c r="E17" s="70" t="n">
        <f aca="false">E15+E14-E16</f>
        <v>194945.434184592</v>
      </c>
      <c r="F17" s="70" t="n">
        <f aca="false">F15+F14-F16</f>
        <v>195930.65886254</v>
      </c>
      <c r="G17" s="70" t="n">
        <f aca="false">G15+G14-G16</f>
        <v>220130.661404271</v>
      </c>
      <c r="H17" s="70" t="n">
        <f aca="false">H15+H14-H16</f>
        <v>250998.921198462</v>
      </c>
      <c r="I17" s="70" t="n">
        <f aca="false">I15+I14-I16</f>
        <v>242339.525692147</v>
      </c>
      <c r="J17" s="70" t="n">
        <f aca="false">J15+J14-J16</f>
        <v>209936.066382147</v>
      </c>
      <c r="K17" s="70" t="n">
        <f aca="false">K15+K14-K16</f>
        <v>192424.621846302</v>
      </c>
      <c r="L17" s="70" t="n">
        <f aca="false">L15+L14-L16</f>
        <v>235049.153180087</v>
      </c>
      <c r="M17" s="70" t="n">
        <f aca="false">M15+M14-M16</f>
        <v>233829.297282758</v>
      </c>
      <c r="N17" s="70" t="n">
        <f aca="false">N15+N14-N16</f>
        <v>257212.227011034</v>
      </c>
      <c r="O17" s="70" t="n">
        <f aca="false">O15+O14-O16</f>
        <v>315669.551331724</v>
      </c>
      <c r="P17" s="70" t="n">
        <f aca="false">P15+P14-P16</f>
        <v>280595.15673931</v>
      </c>
      <c r="Q17" s="70" t="n">
        <f aca="false">Q15+Q14-Q16</f>
        <v>197819.902690345</v>
      </c>
      <c r="R17" s="70" t="n">
        <f aca="false">R15+R14-R16</f>
        <v>197819.902690345</v>
      </c>
      <c r="S17" s="70" t="n">
        <f aca="false">S15+S14-S16</f>
        <v>216817.83241862</v>
      </c>
      <c r="T17" s="70" t="n">
        <f aca="false">T15+T14-T16</f>
        <v>221807.664553448</v>
      </c>
      <c r="U17" s="70" t="n">
        <f aca="false">U15+U14-U16</f>
        <v>221807.664553448</v>
      </c>
      <c r="V17" s="70" t="n">
        <f aca="false">V15+V14-V16</f>
        <v>210717.281325775</v>
      </c>
      <c r="W17" s="70" t="n">
        <f aca="false">W15+W14-W16</f>
        <v>181939.41242131</v>
      </c>
      <c r="X17" s="70" t="n">
        <f aca="false">X15+X14-X16</f>
        <v>192641.730799034</v>
      </c>
      <c r="Y17" s="70" t="n">
        <f aca="false">Y15+Y14-Y16</f>
        <v>214046.367554482</v>
      </c>
      <c r="Z17" s="70" t="n">
        <f aca="false">Z15+Z14-Z16</f>
        <v>231051.004309931</v>
      </c>
      <c r="AA17" s="70" t="n">
        <f aca="false">AA15+AA14-AA16</f>
        <v>283562.596198551</v>
      </c>
      <c r="AB17" s="70" t="n">
        <f aca="false">AB15+AB14-AB16</f>
        <v>252055.641065379</v>
      </c>
    </row>
    <row r="18" customFormat="false" ht="15" hidden="false" customHeight="false" outlineLevel="0" collapsed="false">
      <c r="A18" s="22" t="s">
        <v>1344</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row>
    <row r="19" customFormat="false" ht="15" hidden="false" customHeight="false" outlineLevel="0" collapsed="false">
      <c r="A19" s="28" t="s">
        <v>1338</v>
      </c>
      <c r="B19" s="58"/>
      <c r="C19" s="59" t="n">
        <f aca="false">SUM(E19:P19)</f>
        <v>54560</v>
      </c>
      <c r="D19" s="59" t="n">
        <f aca="false">SUM(Q19:AB19)</f>
        <v>0</v>
      </c>
      <c r="E19" s="60" t="n">
        <f aca="false">Projects!E311*(1+Assumptions!$C$18)</f>
        <v>0</v>
      </c>
      <c r="F19" s="60" t="n">
        <f aca="false">Projects!F311*(1+Assumptions!$C$18)</f>
        <v>0</v>
      </c>
      <c r="G19" s="60" t="n">
        <f aca="false">Projects!G311*(1+Assumptions!$C$18)</f>
        <v>0</v>
      </c>
      <c r="H19" s="60" t="n">
        <f aca="false">Projects!H311*(1+Assumptions!$C$18)</f>
        <v>0</v>
      </c>
      <c r="I19" s="60" t="n">
        <f aca="false">Projects!I311*(1+Assumptions!$C$18)</f>
        <v>0</v>
      </c>
      <c r="J19" s="60" t="n">
        <f aca="false">Projects!J311*(1+Assumptions!$C$18)</f>
        <v>0</v>
      </c>
      <c r="K19" s="60" t="n">
        <f aca="false">Projects!K311*(1+Assumptions!$C$18)</f>
        <v>5208</v>
      </c>
      <c r="L19" s="60" t="n">
        <f aca="false">Projects!L311*(1+Assumptions!$C$18)</f>
        <v>6944</v>
      </c>
      <c r="M19" s="60" t="n">
        <f aca="false">Projects!M311*(1+Assumptions!$C$18)</f>
        <v>8320.05555555556</v>
      </c>
      <c r="N19" s="60" t="n">
        <f aca="false">Projects!N311*(1+Assumptions!$C$18)</f>
        <v>14716.3888888889</v>
      </c>
      <c r="O19" s="60" t="n">
        <f aca="false">Projects!O311*(1+Assumptions!$C$18)</f>
        <v>13559.0555555556</v>
      </c>
      <c r="P19" s="60" t="n">
        <f aca="false">Projects!P311*(1+Assumptions!$C$18)</f>
        <v>5812.5</v>
      </c>
      <c r="Q19" s="60" t="n">
        <f aca="false">Projects!Q311*(1+Assumptions!$C$18)</f>
        <v>0</v>
      </c>
      <c r="R19" s="60" t="n">
        <f aca="false">Projects!R311*(1+Assumptions!$C$18)</f>
        <v>0</v>
      </c>
      <c r="S19" s="60" t="n">
        <f aca="false">Projects!S311*(1+Assumptions!$C$18)</f>
        <v>0</v>
      </c>
      <c r="T19" s="60" t="n">
        <f aca="false">Projects!T311*(1+Assumptions!$C$18)</f>
        <v>0</v>
      </c>
      <c r="U19" s="60" t="n">
        <f aca="false">Projects!U311*(1+Assumptions!$C$18)</f>
        <v>0</v>
      </c>
      <c r="V19" s="60" t="n">
        <f aca="false">Projects!V311*(1+Assumptions!$C$18)</f>
        <v>0</v>
      </c>
      <c r="W19" s="60" t="n">
        <f aca="false">Projects!W311*(1+Assumptions!$C$18)</f>
        <v>0</v>
      </c>
      <c r="X19" s="60" t="n">
        <f aca="false">Projects!X311*(1+Assumptions!$C$18)</f>
        <v>0</v>
      </c>
      <c r="Y19" s="60" t="n">
        <f aca="false">Projects!Y311*(1+Assumptions!$C$18)</f>
        <v>0</v>
      </c>
      <c r="Z19" s="60" t="n">
        <f aca="false">Projects!Z311*(1+Assumptions!$C$18)</f>
        <v>0</v>
      </c>
      <c r="AA19" s="60" t="n">
        <f aca="false">Projects!AA311*(1+Assumptions!$C$18)</f>
        <v>0</v>
      </c>
      <c r="AB19" s="60" t="n">
        <f aca="false">Projects!AB311*(1+Assumptions!$C$18)</f>
        <v>0</v>
      </c>
    </row>
    <row r="20" customFormat="false" ht="15" hidden="false" customHeight="false" outlineLevel="0" collapsed="false">
      <c r="A20" s="28" t="s">
        <v>1339</v>
      </c>
      <c r="B20" s="58"/>
      <c r="E20" s="60" t="n">
        <f aca="false">Inputs_Actuals!$C$187</f>
        <v>0</v>
      </c>
      <c r="F20" s="71" t="n">
        <f aca="false">E22</f>
        <v>0</v>
      </c>
      <c r="G20" s="71" t="n">
        <f aca="false">F22</f>
        <v>0</v>
      </c>
      <c r="H20" s="71" t="n">
        <f aca="false">G22</f>
        <v>0</v>
      </c>
      <c r="I20" s="71" t="n">
        <f aca="false">H22</f>
        <v>0</v>
      </c>
      <c r="J20" s="71" t="n">
        <f aca="false">I22</f>
        <v>0</v>
      </c>
      <c r="K20" s="71" t="n">
        <f aca="false">J22</f>
        <v>0</v>
      </c>
      <c r="L20" s="71" t="n">
        <f aca="false">K22</f>
        <v>5191.28</v>
      </c>
      <c r="M20" s="71" t="n">
        <f aca="false">L22</f>
        <v>6911.34</v>
      </c>
      <c r="N20" s="71" t="n">
        <f aca="false">M22</f>
        <v>8320.05555555556</v>
      </c>
      <c r="O20" s="71" t="n">
        <f aca="false">N22</f>
        <v>14716.3888888889</v>
      </c>
      <c r="P20" s="71" t="n">
        <f aca="false">O22</f>
        <v>13559.0555555556</v>
      </c>
      <c r="Q20" s="71" t="n">
        <f aca="false">P22</f>
        <v>5812.5</v>
      </c>
      <c r="R20" s="71" t="n">
        <f aca="false">Q22</f>
        <v>0</v>
      </c>
      <c r="S20" s="71" t="n">
        <f aca="false">R22</f>
        <v>0</v>
      </c>
      <c r="T20" s="71" t="n">
        <f aca="false">S22</f>
        <v>0</v>
      </c>
      <c r="U20" s="71" t="n">
        <f aca="false">T22</f>
        <v>0</v>
      </c>
      <c r="V20" s="71" t="n">
        <f aca="false">U22</f>
        <v>0</v>
      </c>
      <c r="W20" s="71" t="n">
        <f aca="false">V22</f>
        <v>0</v>
      </c>
      <c r="X20" s="71" t="n">
        <f aca="false">W22</f>
        <v>0</v>
      </c>
      <c r="Y20" s="71" t="n">
        <f aca="false">X22</f>
        <v>0</v>
      </c>
      <c r="Z20" s="71" t="n">
        <f aca="false">Y22</f>
        <v>0</v>
      </c>
      <c r="AA20" s="71" t="n">
        <f aca="false">Z22</f>
        <v>0</v>
      </c>
      <c r="AB20" s="71" t="n">
        <f aca="false">AA22</f>
        <v>0</v>
      </c>
    </row>
    <row r="21" customFormat="false" ht="15" hidden="false" customHeight="false" outlineLevel="0" collapsed="false">
      <c r="A21" s="28" t="s">
        <v>1340</v>
      </c>
      <c r="B21" s="58" t="s">
        <v>1341</v>
      </c>
      <c r="C21" s="59" t="n">
        <f aca="false">SUM(E21:P21)</f>
        <v>48747.5</v>
      </c>
      <c r="D21" s="59" t="n">
        <f aca="false">SUM(Q21:AB21)</f>
        <v>5812.5</v>
      </c>
      <c r="E21" s="60" t="n">
        <f aca="false">IF(E$5="A",Inputs_Actuals!E174,E20+E19-(E19*MIN(1,Assumptions!$C$90/30)+0*MIN(1,MAX(0,(Assumptions!$C$90-30)/30))))</f>
        <v>0</v>
      </c>
      <c r="F21" s="60" t="n">
        <f aca="false">IF(F$5="A",Inputs_Actuals!F174,F20+F19-(F19*MIN(1,Assumptions!$C$90/30)+E19*MIN(1,MAX(0,(Assumptions!$C$90-30)/30))))</f>
        <v>0</v>
      </c>
      <c r="G21" s="60" t="n">
        <f aca="false">IF(G$5="A",Inputs_Actuals!G174,G20+G19-(G19*MIN(1,Assumptions!$C$90/30)+F19*MIN(1,MAX(0,(Assumptions!$C$90-30)/30))))</f>
        <v>0</v>
      </c>
      <c r="H21" s="60" t="n">
        <f aca="false">IF(H$5="A",Inputs_Actuals!H174,H20+H19-(H19*MIN(1,Assumptions!$C$90/30)+G19*MIN(1,MAX(0,(Assumptions!$C$90-30)/30))))</f>
        <v>0</v>
      </c>
      <c r="I21" s="60" t="n">
        <f aca="false">IF(I$5="A",Inputs_Actuals!I174,I20+I19-(I19*MIN(1,Assumptions!$C$90/30)+H19*MIN(1,MAX(0,(Assumptions!$C$90-30)/30))))</f>
        <v>0</v>
      </c>
      <c r="J21" s="60" t="n">
        <f aca="false">IF(J$5="A",Inputs_Actuals!J174,J20+J19-(J19*MIN(1,Assumptions!$C$90/30)+I19*MIN(1,MAX(0,(Assumptions!$C$90-30)/30))))</f>
        <v>0</v>
      </c>
      <c r="K21" s="60" t="n">
        <f aca="false">IF(K$5="A",Inputs_Actuals!K174,K20+K19-(K19*MIN(1,Assumptions!$C$90/30)+J19*MIN(1,MAX(0,(Assumptions!$C$90-30)/30))))</f>
        <v>16.72</v>
      </c>
      <c r="L21" s="60" t="n">
        <f aca="false">IF(L$5="A",Inputs_Actuals!L174,L20+L19-(L19*MIN(1,Assumptions!$C$90/30)+K19*MIN(1,MAX(0,(Assumptions!$C$90-30)/30))))</f>
        <v>5223.94</v>
      </c>
      <c r="M21" s="60" t="n">
        <f aca="false">IF(M$5="A",Inputs_Actuals!M174,M20+M19-(M19*MIN(1,Assumptions!$C$90/30)+L19*MIN(1,MAX(0,(Assumptions!$C$90-30)/30))))</f>
        <v>6911.34</v>
      </c>
      <c r="N21" s="60" t="n">
        <f aca="false">IF(N$5="A",Inputs_Actuals!N174,N20+N19-(N19*MIN(1,Assumptions!$C$90/30)+M19*MIN(1,MAX(0,(Assumptions!$C$90-30)/30))))</f>
        <v>8320.05555555556</v>
      </c>
      <c r="O21" s="60" t="n">
        <f aca="false">IF(O$5="A",Inputs_Actuals!O174,O20+O19-(O19*MIN(1,Assumptions!$C$90/30)+N19*MIN(1,MAX(0,(Assumptions!$C$90-30)/30))))</f>
        <v>14716.3888888889</v>
      </c>
      <c r="P21" s="60" t="n">
        <f aca="false">IF(P$5="A",Inputs_Actuals!P174,P20+P19-(P19*MIN(1,Assumptions!$C$90/30)+O19*MIN(1,MAX(0,(Assumptions!$C$90-30)/30))))</f>
        <v>13559.0555555556</v>
      </c>
      <c r="Q21" s="60" t="n">
        <f aca="false">IF(Q$5="A",Inputs_Actuals!Q174,Q20+Q19-(Q19*MIN(1,Assumptions!$C$90/30)+P19*MIN(1,MAX(0,(Assumptions!$C$90-30)/30))))</f>
        <v>5812.5</v>
      </c>
      <c r="R21" s="60" t="n">
        <f aca="false">IF(R$5="A",Inputs_Actuals!R174,R20+R19-(R19*MIN(1,Assumptions!$C$90/30)+Q19*MIN(1,MAX(0,(Assumptions!$C$90-30)/30))))</f>
        <v>0</v>
      </c>
      <c r="S21" s="60" t="n">
        <f aca="false">IF(S$5="A",Inputs_Actuals!S174,S20+S19-(S19*MIN(1,Assumptions!$C$90/30)+R19*MIN(1,MAX(0,(Assumptions!$C$90-30)/30))))</f>
        <v>0</v>
      </c>
      <c r="T21" s="60" t="n">
        <f aca="false">IF(T$5="A",Inputs_Actuals!T174,T20+T19-(T19*MIN(1,Assumptions!$C$90/30)+S19*MIN(1,MAX(0,(Assumptions!$C$90-30)/30))))</f>
        <v>0</v>
      </c>
      <c r="U21" s="60" t="n">
        <f aca="false">IF(U$5="A",Inputs_Actuals!U174,U20+U19-(U19*MIN(1,Assumptions!$C$90/30)+T19*MIN(1,MAX(0,(Assumptions!$C$90-30)/30))))</f>
        <v>0</v>
      </c>
      <c r="V21" s="60" t="n">
        <f aca="false">IF(V$5="A",Inputs_Actuals!V174,V20+V19-(V19*MIN(1,Assumptions!$C$90/30)+U19*MIN(1,MAX(0,(Assumptions!$C$90-30)/30))))</f>
        <v>0</v>
      </c>
      <c r="W21" s="60" t="n">
        <f aca="false">IF(W$5="A",Inputs_Actuals!W174,W20+W19-(W19*MIN(1,Assumptions!$C$90/30)+V19*MIN(1,MAX(0,(Assumptions!$C$90-30)/30))))</f>
        <v>0</v>
      </c>
      <c r="X21" s="60" t="n">
        <f aca="false">IF(X$5="A",Inputs_Actuals!X174,X20+X19-(X19*MIN(1,Assumptions!$C$90/30)+W19*MIN(1,MAX(0,(Assumptions!$C$90-30)/30))))</f>
        <v>0</v>
      </c>
      <c r="Y21" s="60" t="n">
        <f aca="false">IF(Y$5="A",Inputs_Actuals!Y174,Y20+Y19-(Y19*MIN(1,Assumptions!$C$90/30)+X19*MIN(1,MAX(0,(Assumptions!$C$90-30)/30))))</f>
        <v>0</v>
      </c>
      <c r="Z21" s="60" t="n">
        <f aca="false">IF(Z$5="A",Inputs_Actuals!Z174,Z20+Z19-(Z19*MIN(1,Assumptions!$C$90/30)+Y19*MIN(1,MAX(0,(Assumptions!$C$90-30)/30))))</f>
        <v>0</v>
      </c>
      <c r="AA21" s="60" t="n">
        <f aca="false">IF(AA$5="A",Inputs_Actuals!AA174,AA20+AA19-(AA19*MIN(1,Assumptions!$C$90/30)+Z19*MIN(1,MAX(0,(Assumptions!$C$90-30)/30))))</f>
        <v>0</v>
      </c>
      <c r="AB21" s="60" t="n">
        <f aca="false">IF(AB$5="A",Inputs_Actuals!AB174,AB20+AB19-(AB19*MIN(1,Assumptions!$C$90/30)+AA19*MIN(1,MAX(0,(Assumptions!$C$90-30)/30))))</f>
        <v>0</v>
      </c>
    </row>
    <row r="22" customFormat="false" ht="15" hidden="false" customHeight="false" outlineLevel="0" collapsed="false">
      <c r="A22" s="68" t="s">
        <v>1342</v>
      </c>
      <c r="B22" s="69"/>
      <c r="C22" s="70" t="n">
        <f aca="false">P22</f>
        <v>5812.5</v>
      </c>
      <c r="D22" s="70" t="n">
        <f aca="false">AB22</f>
        <v>0</v>
      </c>
      <c r="E22" s="70" t="n">
        <f aca="false">E20+E19-E21</f>
        <v>0</v>
      </c>
      <c r="F22" s="70" t="n">
        <f aca="false">F20+F19-F21</f>
        <v>0</v>
      </c>
      <c r="G22" s="70" t="n">
        <f aca="false">G20+G19-G21</f>
        <v>0</v>
      </c>
      <c r="H22" s="70" t="n">
        <f aca="false">H20+H19-H21</f>
        <v>0</v>
      </c>
      <c r="I22" s="70" t="n">
        <f aca="false">I20+I19-I21</f>
        <v>0</v>
      </c>
      <c r="J22" s="70" t="n">
        <f aca="false">J20+J19-J21</f>
        <v>0</v>
      </c>
      <c r="K22" s="70" t="n">
        <f aca="false">K20+K19-K21</f>
        <v>5191.28</v>
      </c>
      <c r="L22" s="70" t="n">
        <f aca="false">L20+L19-L21</f>
        <v>6911.34</v>
      </c>
      <c r="M22" s="70" t="n">
        <f aca="false">M20+M19-M21</f>
        <v>8320.05555555556</v>
      </c>
      <c r="N22" s="70" t="n">
        <f aca="false">N20+N19-N21</f>
        <v>14716.3888888889</v>
      </c>
      <c r="O22" s="70" t="n">
        <f aca="false">O20+O19-O21</f>
        <v>13559.0555555556</v>
      </c>
      <c r="P22" s="70" t="n">
        <f aca="false">P20+P19-P21</f>
        <v>5812.5</v>
      </c>
      <c r="Q22" s="70" t="n">
        <f aca="false">Q20+Q19-Q21</f>
        <v>0</v>
      </c>
      <c r="R22" s="70" t="n">
        <f aca="false">R20+R19-R21</f>
        <v>0</v>
      </c>
      <c r="S22" s="70" t="n">
        <f aca="false">S20+S19-S21</f>
        <v>0</v>
      </c>
      <c r="T22" s="70" t="n">
        <f aca="false">T20+T19-T21</f>
        <v>0</v>
      </c>
      <c r="U22" s="70" t="n">
        <f aca="false">U20+U19-U21</f>
        <v>0</v>
      </c>
      <c r="V22" s="70" t="n">
        <f aca="false">V20+V19-V21</f>
        <v>0</v>
      </c>
      <c r="W22" s="70" t="n">
        <f aca="false">W20+W19-W21</f>
        <v>0</v>
      </c>
      <c r="X22" s="70" t="n">
        <f aca="false">X20+X19-X21</f>
        <v>0</v>
      </c>
      <c r="Y22" s="70" t="n">
        <f aca="false">Y20+Y19-Y21</f>
        <v>0</v>
      </c>
      <c r="Z22" s="70" t="n">
        <f aca="false">Z20+Z19-Z21</f>
        <v>0</v>
      </c>
      <c r="AA22" s="70" t="n">
        <f aca="false">AA20+AA19-AA21</f>
        <v>0</v>
      </c>
      <c r="AB22" s="70" t="n">
        <f aca="false">AB20+AB19-AB21</f>
        <v>0</v>
      </c>
    </row>
    <row r="23" customFormat="false" ht="15" hidden="false" customHeight="false" outlineLevel="0" collapsed="false">
      <c r="A23" s="22" t="s">
        <v>1345</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false" outlineLevel="0" collapsed="false">
      <c r="A24" s="28" t="s">
        <v>1338</v>
      </c>
      <c r="B24" s="58"/>
      <c r="C24" s="59" t="n">
        <f aca="false">SUM(E24:P24)</f>
        <v>522447.276</v>
      </c>
      <c r="D24" s="59" t="n">
        <f aca="false">SUM(Q24:AB24)</f>
        <v>527687.88</v>
      </c>
      <c r="E24" s="60" t="n">
        <f aca="false">Overheads!E32+Overheads!E33*Assumptions!$C$18</f>
        <v>38093.864</v>
      </c>
      <c r="F24" s="60" t="n">
        <f aca="false">Overheads!F32+Overheads!F33*Assumptions!$C$18</f>
        <v>43256.144</v>
      </c>
      <c r="G24" s="60" t="n">
        <f aca="false">Overheads!G32+Overheads!G33*Assumptions!$C$18</f>
        <v>49862.704</v>
      </c>
      <c r="H24" s="60" t="n">
        <f aca="false">Overheads!H32+Overheads!H33*Assumptions!$C$18</f>
        <v>43541.56</v>
      </c>
      <c r="I24" s="60" t="n">
        <f aca="false">Overheads!I32+Overheads!I33*Assumptions!$C$18</f>
        <v>49112.036</v>
      </c>
      <c r="J24" s="60" t="n">
        <f aca="false">Overheads!J32+Overheads!J33*Assumptions!$C$18</f>
        <v>40907.06</v>
      </c>
      <c r="K24" s="60" t="n">
        <f aca="false">Overheads!K32+Overheads!K33*Assumptions!$C$18</f>
        <v>41309.124</v>
      </c>
      <c r="L24" s="60" t="n">
        <f aca="false">Overheads!L32+Overheads!L33*Assumptions!$C$18</f>
        <v>37772.784</v>
      </c>
      <c r="M24" s="60" t="n">
        <f aca="false">Overheads!M32+Overheads!M33*Assumptions!$C$18</f>
        <v>41858</v>
      </c>
      <c r="N24" s="60" t="n">
        <f aca="false">Overheads!N32+Overheads!N33*Assumptions!$C$18</f>
        <v>47438</v>
      </c>
      <c r="O24" s="60" t="n">
        <f aca="false">Overheads!O32+Overheads!O33*Assumptions!$C$18</f>
        <v>47438</v>
      </c>
      <c r="P24" s="60" t="n">
        <f aca="false">Overheads!P32+Overheads!P33*Assumptions!$C$18</f>
        <v>41858</v>
      </c>
      <c r="Q24" s="60" t="n">
        <f aca="false">Overheads!Q32+Overheads!Q33*Assumptions!$C$18</f>
        <v>45624.74</v>
      </c>
      <c r="R24" s="60" t="n">
        <f aca="false">Overheads!R32+Overheads!R33*Assumptions!$C$18</f>
        <v>43113.74</v>
      </c>
      <c r="S24" s="60" t="n">
        <f aca="false">Overheads!S32+Overheads!S33*Assumptions!$C$18</f>
        <v>45345.74</v>
      </c>
      <c r="T24" s="60" t="n">
        <f aca="false">Overheads!T32+Overheads!T33*Assumptions!$C$18</f>
        <v>48693.74</v>
      </c>
      <c r="U24" s="60" t="n">
        <f aca="false">Overheads!U32+Overheads!U33*Assumptions!$C$18</f>
        <v>43113.74</v>
      </c>
      <c r="V24" s="60" t="n">
        <f aca="false">Overheads!V32+Overheads!V33*Assumptions!$C$18</f>
        <v>43113.74</v>
      </c>
      <c r="W24" s="60" t="n">
        <f aca="false">Overheads!W32+Overheads!W33*Assumptions!$C$18</f>
        <v>43113.74</v>
      </c>
      <c r="X24" s="60" t="n">
        <f aca="false">Overheads!X32+Overheads!X33*Assumptions!$C$18</f>
        <v>43113.74</v>
      </c>
      <c r="Y24" s="60" t="n">
        <f aca="false">Overheads!Y32+Overheads!Y33*Assumptions!$C$18</f>
        <v>43113.74</v>
      </c>
      <c r="Z24" s="60" t="n">
        <f aca="false">Overheads!Z32+Overheads!Z33*Assumptions!$C$18</f>
        <v>43113.74</v>
      </c>
      <c r="AA24" s="60" t="n">
        <f aca="false">Overheads!AA32+Overheads!AA33*Assumptions!$C$18</f>
        <v>43113.74</v>
      </c>
      <c r="AB24" s="60" t="n">
        <f aca="false">Overheads!AB32+Overheads!AB33*Assumptions!$C$18</f>
        <v>43113.74</v>
      </c>
    </row>
    <row r="25" customFormat="false" ht="15" hidden="false" customHeight="false" outlineLevel="0" collapsed="false">
      <c r="A25" s="28" t="s">
        <v>1339</v>
      </c>
      <c r="B25" s="58"/>
      <c r="E25" s="60" t="n">
        <f aca="false">Inputs_Actuals!$C$188</f>
        <v>24300</v>
      </c>
      <c r="F25" s="71" t="n">
        <f aca="false">E27</f>
        <v>24604.464</v>
      </c>
      <c r="G25" s="71" t="n">
        <f aca="false">F27</f>
        <v>26075.648</v>
      </c>
      <c r="H25" s="71" t="n">
        <f aca="false">G27</f>
        <v>33979.422</v>
      </c>
      <c r="I25" s="71" t="n">
        <f aca="false">H27</f>
        <v>24448.882</v>
      </c>
      <c r="J25" s="71" t="n">
        <f aca="false">I27</f>
        <v>27001.648</v>
      </c>
      <c r="K25" s="71" t="n">
        <f aca="false">J27</f>
        <v>22879.108</v>
      </c>
      <c r="L25" s="71" t="n">
        <f aca="false">K27</f>
        <v>25041.492</v>
      </c>
      <c r="M25" s="71" t="n">
        <f aca="false">L27</f>
        <v>22728.426</v>
      </c>
      <c r="N25" s="71" t="n">
        <f aca="false">M27</f>
        <v>25114.8</v>
      </c>
      <c r="O25" s="71" t="n">
        <f aca="false">N27</f>
        <v>28462.8</v>
      </c>
      <c r="P25" s="71" t="n">
        <f aca="false">O27</f>
        <v>28462.8</v>
      </c>
      <c r="Q25" s="71" t="n">
        <f aca="false">P27</f>
        <v>25114.8</v>
      </c>
      <c r="R25" s="71" t="n">
        <f aca="false">Q27</f>
        <v>27374.844</v>
      </c>
      <c r="S25" s="71" t="n">
        <f aca="false">R27</f>
        <v>25868.244</v>
      </c>
      <c r="T25" s="71" t="n">
        <f aca="false">S27</f>
        <v>27207.444</v>
      </c>
      <c r="U25" s="71" t="n">
        <f aca="false">T27</f>
        <v>29216.244</v>
      </c>
      <c r="V25" s="71" t="n">
        <f aca="false">U27</f>
        <v>25868.244</v>
      </c>
      <c r="W25" s="71" t="n">
        <f aca="false">V27</f>
        <v>25868.244</v>
      </c>
      <c r="X25" s="71" t="n">
        <f aca="false">W27</f>
        <v>25868.244</v>
      </c>
      <c r="Y25" s="71" t="n">
        <f aca="false">X27</f>
        <v>25868.244</v>
      </c>
      <c r="Z25" s="71" t="n">
        <f aca="false">Y27</f>
        <v>25868.244</v>
      </c>
      <c r="AA25" s="71" t="n">
        <f aca="false">Z27</f>
        <v>25868.244</v>
      </c>
      <c r="AB25" s="71" t="n">
        <f aca="false">AA27</f>
        <v>25868.244</v>
      </c>
    </row>
    <row r="26" customFormat="false" ht="15" hidden="false" customHeight="false" outlineLevel="0" collapsed="false">
      <c r="A26" s="28" t="s">
        <v>1340</v>
      </c>
      <c r="B26" s="58" t="s">
        <v>1341</v>
      </c>
      <c r="C26" s="59" t="n">
        <f aca="false">SUM(E26:P26)</f>
        <v>521632.476</v>
      </c>
      <c r="D26" s="59" t="n">
        <f aca="false">SUM(Q26:AB26)</f>
        <v>526934.436</v>
      </c>
      <c r="E26" s="60" t="n">
        <f aca="false">IF(E$5="A",Inputs_Actuals!E175,E25+E24-(E24*MIN(1,Assumptions!$C$91/30)+0*MIN(1,MAX(0,(Assumptions!$C$91-30)/30))))</f>
        <v>37789.4</v>
      </c>
      <c r="F26" s="60" t="n">
        <f aca="false">IF(F$5="A",Inputs_Actuals!F175,F25+F24-(F24*MIN(1,Assumptions!$C$91/30)+E24*MIN(1,MAX(0,(Assumptions!$C$91-30)/30))))</f>
        <v>41784.96</v>
      </c>
      <c r="G26" s="60" t="n">
        <f aca="false">IF(G$5="A",Inputs_Actuals!G175,G25+G24-(G24*MIN(1,Assumptions!$C$91/30)+F24*MIN(1,MAX(0,(Assumptions!$C$91-30)/30))))</f>
        <v>41958.93</v>
      </c>
      <c r="H26" s="60" t="n">
        <f aca="false">IF(H$5="A",Inputs_Actuals!H175,H25+H24-(H24*MIN(1,Assumptions!$C$91/30)+G24*MIN(1,MAX(0,(Assumptions!$C$91-30)/30))))</f>
        <v>53072.1</v>
      </c>
      <c r="I26" s="60" t="n">
        <f aca="false">IF(I$5="A",Inputs_Actuals!I175,I25+I24-(I24*MIN(1,Assumptions!$C$91/30)+H24*MIN(1,MAX(0,(Assumptions!$C$91-30)/30))))</f>
        <v>46559.27</v>
      </c>
      <c r="J26" s="60" t="n">
        <f aca="false">IF(J$5="A",Inputs_Actuals!J175,J25+J24-(J24*MIN(1,Assumptions!$C$91/30)+I24*MIN(1,MAX(0,(Assumptions!$C$91-30)/30))))</f>
        <v>45029.6</v>
      </c>
      <c r="K26" s="60" t="n">
        <f aca="false">IF(K$5="A",Inputs_Actuals!K175,K25+K24-(K24*MIN(1,Assumptions!$C$91/30)+J24*MIN(1,MAX(0,(Assumptions!$C$91-30)/30))))</f>
        <v>39146.74</v>
      </c>
      <c r="L26" s="60" t="n">
        <f aca="false">IF(L$5="A",Inputs_Actuals!L175,L25+L24-(L24*MIN(1,Assumptions!$C$91/30)+K24*MIN(1,MAX(0,(Assumptions!$C$91-30)/30))))</f>
        <v>40085.85</v>
      </c>
      <c r="M26" s="60" t="n">
        <f aca="false">IF(M$5="A",Inputs_Actuals!M175,M25+M24-(M24*MIN(1,Assumptions!$C$91/30)+L24*MIN(1,MAX(0,(Assumptions!$C$91-30)/30))))</f>
        <v>39471.626</v>
      </c>
      <c r="N26" s="60" t="n">
        <f aca="false">IF(N$5="A",Inputs_Actuals!N175,N25+N24-(N24*MIN(1,Assumptions!$C$91/30)+M24*MIN(1,MAX(0,(Assumptions!$C$91-30)/30))))</f>
        <v>44090</v>
      </c>
      <c r="O26" s="60" t="n">
        <f aca="false">IF(O$5="A",Inputs_Actuals!O175,O25+O24-(O24*MIN(1,Assumptions!$C$91/30)+N24*MIN(1,MAX(0,(Assumptions!$C$91-30)/30))))</f>
        <v>47438</v>
      </c>
      <c r="P26" s="60" t="n">
        <f aca="false">IF(P$5="A",Inputs_Actuals!P175,P25+P24-(P24*MIN(1,Assumptions!$C$91/30)+O24*MIN(1,MAX(0,(Assumptions!$C$91-30)/30))))</f>
        <v>45206</v>
      </c>
      <c r="Q26" s="60" t="n">
        <f aca="false">IF(Q$5="A",Inputs_Actuals!Q175,Q25+Q24-(Q24*MIN(1,Assumptions!$C$91/30)+P24*MIN(1,MAX(0,(Assumptions!$C$91-30)/30))))</f>
        <v>43364.696</v>
      </c>
      <c r="R26" s="60" t="n">
        <f aca="false">IF(R$5="A",Inputs_Actuals!R175,R25+R24-(R24*MIN(1,Assumptions!$C$91/30)+Q24*MIN(1,MAX(0,(Assumptions!$C$91-30)/30))))</f>
        <v>44620.34</v>
      </c>
      <c r="S26" s="60" t="n">
        <f aca="false">IF(S$5="A",Inputs_Actuals!S175,S25+S24-(S24*MIN(1,Assumptions!$C$91/30)+R24*MIN(1,MAX(0,(Assumptions!$C$91-30)/30))))</f>
        <v>44006.54</v>
      </c>
      <c r="T26" s="60" t="n">
        <f aca="false">IF(T$5="A",Inputs_Actuals!T175,T25+T24-(T24*MIN(1,Assumptions!$C$91/30)+S24*MIN(1,MAX(0,(Assumptions!$C$91-30)/30))))</f>
        <v>46684.94</v>
      </c>
      <c r="U26" s="60" t="n">
        <f aca="false">IF(U$5="A",Inputs_Actuals!U175,U25+U24-(U24*MIN(1,Assumptions!$C$91/30)+T24*MIN(1,MAX(0,(Assumptions!$C$91-30)/30))))</f>
        <v>46461.74</v>
      </c>
      <c r="V26" s="60" t="n">
        <f aca="false">IF(V$5="A",Inputs_Actuals!V175,V25+V24-(V24*MIN(1,Assumptions!$C$91/30)+U24*MIN(1,MAX(0,(Assumptions!$C$91-30)/30))))</f>
        <v>43113.74</v>
      </c>
      <c r="W26" s="60" t="n">
        <f aca="false">IF(W$5="A",Inputs_Actuals!W175,W25+W24-(W24*MIN(1,Assumptions!$C$91/30)+V24*MIN(1,MAX(0,(Assumptions!$C$91-30)/30))))</f>
        <v>43113.74</v>
      </c>
      <c r="X26" s="60" t="n">
        <f aca="false">IF(X$5="A",Inputs_Actuals!X175,X25+X24-(X24*MIN(1,Assumptions!$C$91/30)+W24*MIN(1,MAX(0,(Assumptions!$C$91-30)/30))))</f>
        <v>43113.74</v>
      </c>
      <c r="Y26" s="60" t="n">
        <f aca="false">IF(Y$5="A",Inputs_Actuals!Y175,Y25+Y24-(Y24*MIN(1,Assumptions!$C$91/30)+X24*MIN(1,MAX(0,(Assumptions!$C$91-30)/30))))</f>
        <v>43113.74</v>
      </c>
      <c r="Z26" s="60" t="n">
        <f aca="false">IF(Z$5="A",Inputs_Actuals!Z175,Z25+Z24-(Z24*MIN(1,Assumptions!$C$91/30)+Y24*MIN(1,MAX(0,(Assumptions!$C$91-30)/30))))</f>
        <v>43113.74</v>
      </c>
      <c r="AA26" s="60" t="n">
        <f aca="false">IF(AA$5="A",Inputs_Actuals!AA175,AA25+AA24-(AA24*MIN(1,Assumptions!$C$91/30)+Z24*MIN(1,MAX(0,(Assumptions!$C$91-30)/30))))</f>
        <v>43113.74</v>
      </c>
      <c r="AB26" s="60" t="n">
        <f aca="false">IF(AB$5="A",Inputs_Actuals!AB175,AB25+AB24-(AB24*MIN(1,Assumptions!$C$91/30)+AA24*MIN(1,MAX(0,(Assumptions!$C$91-30)/30))))</f>
        <v>43113.74</v>
      </c>
    </row>
    <row r="27" customFormat="false" ht="15" hidden="false" customHeight="false" outlineLevel="0" collapsed="false">
      <c r="A27" s="68" t="s">
        <v>1342</v>
      </c>
      <c r="B27" s="69"/>
      <c r="C27" s="70" t="n">
        <f aca="false">P27</f>
        <v>25114.8</v>
      </c>
      <c r="D27" s="70" t="n">
        <f aca="false">AB27</f>
        <v>25868.244</v>
      </c>
      <c r="E27" s="70" t="n">
        <f aca="false">E25+E24-E26</f>
        <v>24604.464</v>
      </c>
      <c r="F27" s="70" t="n">
        <f aca="false">F25+F24-F26</f>
        <v>26075.648</v>
      </c>
      <c r="G27" s="70" t="n">
        <f aca="false">G25+G24-G26</f>
        <v>33979.422</v>
      </c>
      <c r="H27" s="70" t="n">
        <f aca="false">H25+H24-H26</f>
        <v>24448.882</v>
      </c>
      <c r="I27" s="70" t="n">
        <f aca="false">I25+I24-I26</f>
        <v>27001.648</v>
      </c>
      <c r="J27" s="70" t="n">
        <f aca="false">J25+J24-J26</f>
        <v>22879.108</v>
      </c>
      <c r="K27" s="70" t="n">
        <f aca="false">K25+K24-K26</f>
        <v>25041.492</v>
      </c>
      <c r="L27" s="70" t="n">
        <f aca="false">L25+L24-L26</f>
        <v>22728.426</v>
      </c>
      <c r="M27" s="70" t="n">
        <f aca="false">M25+M24-M26</f>
        <v>25114.8</v>
      </c>
      <c r="N27" s="70" t="n">
        <f aca="false">N25+N24-N26</f>
        <v>28462.8</v>
      </c>
      <c r="O27" s="70" t="n">
        <f aca="false">O25+O24-O26</f>
        <v>28462.8</v>
      </c>
      <c r="P27" s="70" t="n">
        <f aca="false">P25+P24-P26</f>
        <v>25114.8</v>
      </c>
      <c r="Q27" s="70" t="n">
        <f aca="false">Q25+Q24-Q26</f>
        <v>27374.844</v>
      </c>
      <c r="R27" s="70" t="n">
        <f aca="false">R25+R24-R26</f>
        <v>25868.244</v>
      </c>
      <c r="S27" s="70" t="n">
        <f aca="false">S25+S24-S26</f>
        <v>27207.444</v>
      </c>
      <c r="T27" s="70" t="n">
        <f aca="false">T25+T24-T26</f>
        <v>29216.244</v>
      </c>
      <c r="U27" s="70" t="n">
        <f aca="false">U25+U24-U26</f>
        <v>25868.244</v>
      </c>
      <c r="V27" s="70" t="n">
        <f aca="false">V25+V24-V26</f>
        <v>25868.244</v>
      </c>
      <c r="W27" s="70" t="n">
        <f aca="false">W25+W24-W26</f>
        <v>25868.244</v>
      </c>
      <c r="X27" s="70" t="n">
        <f aca="false">X25+X24-X26</f>
        <v>25868.244</v>
      </c>
      <c r="Y27" s="70" t="n">
        <f aca="false">Y25+Y24-Y26</f>
        <v>25868.244</v>
      </c>
      <c r="Z27" s="70" t="n">
        <f aca="false">Z25+Z24-Z26</f>
        <v>25868.244</v>
      </c>
      <c r="AA27" s="70" t="n">
        <f aca="false">AA25+AA24-AA26</f>
        <v>25868.244</v>
      </c>
      <c r="AB27" s="70" t="n">
        <f aca="false">AB25+AB24-AB26</f>
        <v>25868.244</v>
      </c>
    </row>
    <row r="28" customFormat="false" ht="15" hidden="false" customHeight="false" outlineLevel="0" collapsed="false">
      <c r="A28" s="22" t="s">
        <v>1346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false" outlineLevel="0" collapsed="false">
      <c r="A29" s="68" t="s">
        <v>1347</v>
      </c>
      <c r="B29" s="69"/>
      <c r="C29" s="70" t="n">
        <f aca="false">P29</f>
        <v>315541.123405977</v>
      </c>
      <c r="D29" s="70" t="n">
        <f aca="false">AB29</f>
        <v>282123.391732046</v>
      </c>
      <c r="E29" s="70" t="n">
        <f aca="false">E12+E17+E22+E27</f>
        <v>223189.049864592</v>
      </c>
      <c r="F29" s="70" t="n">
        <f aca="false">F12+F17+F22+F27</f>
        <v>226322.77182254</v>
      </c>
      <c r="G29" s="70" t="n">
        <f aca="false">G12+G17+G22+G27</f>
        <v>257506.807564271</v>
      </c>
      <c r="H29" s="70" t="n">
        <f aca="false">H12+H17+H22+H27</f>
        <v>279949.638318462</v>
      </c>
      <c r="I29" s="70" t="n">
        <f aca="false">I12+I17+I22+I27</f>
        <v>273166.126892147</v>
      </c>
      <c r="J29" s="70" t="n">
        <f aca="false">J12+J17+J22+J27</f>
        <v>253145.127582147</v>
      </c>
      <c r="K29" s="70" t="n">
        <f aca="false">K12+K17+K22+K27</f>
        <v>270192.644966302</v>
      </c>
      <c r="L29" s="70" t="n">
        <f aca="false">L12+L17+L22+L27</f>
        <v>289945.084700087</v>
      </c>
      <c r="M29" s="70" t="n">
        <f aca="false">M12+M17+M22+M27</f>
        <v>275759.93948287</v>
      </c>
      <c r="N29" s="70" t="n">
        <f aca="false">N12+N17+N22+N27</f>
        <v>304410.08256659</v>
      </c>
      <c r="O29" s="70" t="n">
        <f aca="false">O12+O17+O22+O27</f>
        <v>361710.073553946</v>
      </c>
      <c r="P29" s="70" t="n">
        <f aca="false">P12+P17+P22+P27</f>
        <v>315541.123405977</v>
      </c>
      <c r="Q29" s="70" t="n">
        <f aca="false">Q12+Q17+Q22+Q27</f>
        <v>229394.253357011</v>
      </c>
      <c r="R29" s="70" t="n">
        <f aca="false">R12+R17+R22+R27</f>
        <v>227887.653357011</v>
      </c>
      <c r="S29" s="70" t="n">
        <f aca="false">S12+S17+S22+S27</f>
        <v>248224.783085287</v>
      </c>
      <c r="T29" s="70" t="n">
        <f aca="false">T12+T17+T22+T27</f>
        <v>255223.415220114</v>
      </c>
      <c r="U29" s="70" t="n">
        <f aca="false">U12+U17+U22+U27</f>
        <v>251875.415220114</v>
      </c>
      <c r="V29" s="70" t="n">
        <f aca="false">V12+V17+V22+V27</f>
        <v>240785.031992442</v>
      </c>
      <c r="W29" s="70" t="n">
        <f aca="false">W12+W17+W22+W27</f>
        <v>223868.849880634</v>
      </c>
      <c r="X29" s="70" t="n">
        <f aca="false">X12+X17+X22+X27</f>
        <v>222709.481465701</v>
      </c>
      <c r="Y29" s="70" t="n">
        <f aca="false">Y12+Y17+Y22+Y27</f>
        <v>244114.118221149</v>
      </c>
      <c r="Z29" s="70" t="n">
        <f aca="false">Z12+Z17+Z22+Z27</f>
        <v>261118.754976597</v>
      </c>
      <c r="AA29" s="70" t="n">
        <f aca="false">AA12+AA17+AA22+AA27</f>
        <v>313630.346865218</v>
      </c>
      <c r="AB29" s="70" t="n">
        <f aca="false">AB12+AB17+AB22+AB27</f>
        <v>282123.391732046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1348</v>
      </c>
    </row>
    <row r="3" customFormat="false" ht="15" hidden="false" customHeight="false" outlineLevel="0" collapsed="false">
      <c r="A3" s="49" t="s">
        <v>1349</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1350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1351</v>
      </c>
      <c r="B9" s="58" t="s">
        <v>61</v>
      </c>
      <c r="C9" s="59" t="n">
        <f aca="false">SUM(E9:P9)</f>
        <v>124523.763801429</v>
      </c>
      <c r="D9" s="59" t="n">
        <f aca="false">SUM(Q9:AB9)</f>
        <v>121665.353651714</v>
      </c>
      <c r="E9" s="60" t="n">
        <f aca="false">FX!E21</f>
        <v>8835.1488</v>
      </c>
      <c r="F9" s="60" t="n">
        <f aca="false">FX!F21</f>
        <v>9713.3856</v>
      </c>
      <c r="G9" s="60" t="n">
        <f aca="false">FX!G21</f>
        <v>9675.684</v>
      </c>
      <c r="H9" s="60" t="n">
        <f aca="false">FX!H21</f>
        <v>10337.0184</v>
      </c>
      <c r="I9" s="60" t="n">
        <f aca="false">FX!I21</f>
        <v>10422.648</v>
      </c>
      <c r="J9" s="60" t="n">
        <f aca="false">FX!J21</f>
        <v>10137.9048</v>
      </c>
      <c r="K9" s="60" t="n">
        <f aca="false">FX!K21</f>
        <v>9982.6968</v>
      </c>
      <c r="L9" s="60" t="n">
        <f aca="false">FX!L21</f>
        <v>9894.0264</v>
      </c>
      <c r="M9" s="60" t="n">
        <f aca="false">FX!M21</f>
        <v>9929.4336</v>
      </c>
      <c r="N9" s="60" t="n">
        <f aca="false">FX!N21</f>
        <v>11175.3524671431</v>
      </c>
      <c r="O9" s="60" t="n">
        <f aca="false">FX!O21</f>
        <v>12749.0838266548</v>
      </c>
      <c r="P9" s="60" t="n">
        <f aca="false">FX!P21</f>
        <v>11671.3811076313</v>
      </c>
      <c r="Q9" s="60" t="n">
        <f aca="false">FX!Q21</f>
        <v>8847.71631007248</v>
      </c>
      <c r="R9" s="60" t="n">
        <f aca="false">FX!R21</f>
        <v>9420.97555193654</v>
      </c>
      <c r="S9" s="60" t="n">
        <f aca="false">FX!S21</f>
        <v>9883.62293804431</v>
      </c>
      <c r="T9" s="60" t="n">
        <f aca="false">FX!T21</f>
        <v>10362.8081658288</v>
      </c>
      <c r="U9" s="60" t="n">
        <f aca="false">FX!U21</f>
        <v>10230.6153473058</v>
      </c>
      <c r="V9" s="60" t="n">
        <f aca="false">FX!V21</f>
        <v>9949.7193473058</v>
      </c>
      <c r="W9" s="60" t="n">
        <f aca="false">FX!W21</f>
        <v>9189.63811952133</v>
      </c>
      <c r="X9" s="60" t="n">
        <f aca="false">FX!X21</f>
        <v>9040.90745932166</v>
      </c>
      <c r="Y9" s="60" t="n">
        <f aca="false">FX!Y21</f>
        <v>9999.27791489059</v>
      </c>
      <c r="Z9" s="60" t="n">
        <f aca="false">FX!Z21</f>
        <v>10924.6001658288</v>
      </c>
      <c r="AA9" s="60" t="n">
        <f aca="false">FX!AA21</f>
        <v>12428.224779721</v>
      </c>
      <c r="AB9" s="60" t="n">
        <f aca="false">FX!AB21</f>
        <v>11387.2475519365</v>
      </c>
    </row>
    <row r="10" customFormat="false" ht="15" hidden="false" customHeight="false" outlineLevel="0" collapsed="false">
      <c r="A10" s="28" t="s">
        <v>1352</v>
      </c>
      <c r="B10" s="58" t="s">
        <v>1353</v>
      </c>
      <c r="C10" s="59" t="n">
        <f aca="false">SUM(E10:P10)</f>
        <v>715103.384975102</v>
      </c>
      <c r="D10" s="59" t="n">
        <f aca="false">SUM(Q10:AB10)</f>
        <v>652964.118661633</v>
      </c>
      <c r="E10" s="60" t="n">
        <f aca="false">(FX!E68+Utilisation!E84*Assumptions!$C$27+Overheads!E34)*Assumptions!$C$18</f>
        <v>49105.4586443022</v>
      </c>
      <c r="F10" s="60" t="n">
        <f aca="false">(FX!F68+Utilisation!F84*Assumptions!$C$27+Overheads!F34)*Assumptions!$C$18</f>
        <v>48628.6453627074</v>
      </c>
      <c r="G10" s="60" t="n">
        <f aca="false">(FX!G68+Utilisation!G84*Assumptions!$C$27+Overheads!G34)*Assumptions!$C$18</f>
        <v>54300.5022100155</v>
      </c>
      <c r="H10" s="60" t="n">
        <f aca="false">(FX!H68+Utilisation!H84*Assumptions!$C$27+Overheads!H34)*Assumptions!$C$18</f>
        <v>59658.1246306057</v>
      </c>
      <c r="I10" s="60" t="n">
        <f aca="false">(FX!I68+Utilisation!I84*Assumptions!$C$27+Overheads!I34)*Assumptions!$C$18</f>
        <v>58149.4285184845</v>
      </c>
      <c r="J10" s="60" t="n">
        <f aca="false">(FX!J68+Utilisation!J84*Assumptions!$C$27+Overheads!J34)*Assumptions!$C$18</f>
        <v>57475.0591656</v>
      </c>
      <c r="K10" s="60" t="n">
        <f aca="false">(FX!K68+Utilisation!K84*Assumptions!$C$27+Overheads!K34)*Assumptions!$C$18</f>
        <v>59203.4038713973</v>
      </c>
      <c r="L10" s="60" t="n">
        <f aca="false">(FX!L68+Utilisation!L84*Assumptions!$C$27+Overheads!L34)*Assumptions!$C$18</f>
        <v>59911.5027201083</v>
      </c>
      <c r="M10" s="60" t="n">
        <f aca="false">(FX!M68+Utilisation!M84*Assumptions!$C$27+Overheads!M34)*Assumptions!$C$18</f>
        <v>58544.7954321851</v>
      </c>
      <c r="N10" s="60" t="n">
        <f aca="false">(FX!N68+Utilisation!N84*Assumptions!$C$27+Overheads!N34)*Assumptions!$C$18</f>
        <v>63494.9344826482</v>
      </c>
      <c r="O10" s="60" t="n">
        <f aca="false">(FX!O68+Utilisation!O84*Assumptions!$C$27+Overheads!O34)*Assumptions!$C$18</f>
        <v>77524.6923196137</v>
      </c>
      <c r="P10" s="60" t="n">
        <f aca="false">(FX!P68+Utilisation!P84*Assumptions!$C$27+Overheads!P34)*Assumptions!$C$18</f>
        <v>69106.8376174344</v>
      </c>
      <c r="Q10" s="60" t="n">
        <f aca="false">(FX!Q68+Utilisation!Q84*Assumptions!$C$27+Overheads!Q34)*Assumptions!$C$18</f>
        <v>49302.6066456827</v>
      </c>
      <c r="R10" s="60" t="n">
        <f aca="false">(FX!R68+Utilisation!R84*Assumptions!$C$27+Overheads!R34)*Assumptions!$C$18</f>
        <v>49302.6066456827</v>
      </c>
      <c r="S10" s="60" t="n">
        <f aca="false">(FX!S68+Utilisation!S84*Assumptions!$C$27+Overheads!S34)*Assumptions!$C$18</f>
        <v>53862.1097804689</v>
      </c>
      <c r="T10" s="60" t="n">
        <f aca="false">(FX!T68+Utilisation!T84*Assumptions!$C$27+Overheads!T34)*Assumptions!$C$18</f>
        <v>55059.6694928274</v>
      </c>
      <c r="U10" s="60" t="n">
        <f aca="false">(FX!U68+Utilisation!U84*Assumptions!$C$27+Overheads!U34)*Assumptions!$C$18</f>
        <v>55059.6694928274</v>
      </c>
      <c r="V10" s="60" t="n">
        <f aca="false">(FX!V68+Utilisation!V84*Assumptions!$C$27+Overheads!V34)*Assumptions!$C$18</f>
        <v>52397.977518186</v>
      </c>
      <c r="W10" s="60" t="n">
        <f aca="false">(FX!W68+Utilisation!W84*Assumptions!$C$27+Overheads!W34)*Assumptions!$C$18</f>
        <v>47244.5675033868</v>
      </c>
      <c r="X10" s="60" t="n">
        <f aca="false">(FX!X68+Utilisation!X84*Assumptions!$C$27+Overheads!X34)*Assumptions!$C$18</f>
        <v>48059.8453917682</v>
      </c>
      <c r="Y10" s="60" t="n">
        <f aca="false">(FX!Y68+Utilisation!Y84*Assumptions!$C$27+Overheads!Y34)*Assumptions!$C$18</f>
        <v>53196.9582130758</v>
      </c>
      <c r="Z10" s="60" t="n">
        <f aca="false">(FX!Z68+Utilisation!Z84*Assumptions!$C$27+Overheads!Z34)*Assumptions!$C$18</f>
        <v>57278.0710343834</v>
      </c>
      <c r="AA10" s="60" t="n">
        <f aca="false">(FX!AA68+Utilisation!AA84*Assumptions!$C$27+Overheads!AA34)*Assumptions!$C$18</f>
        <v>69880.8530876523</v>
      </c>
      <c r="AB10" s="60" t="n">
        <f aca="false">(FX!AB68+Utilisation!AB84*Assumptions!$C$27+Overheads!AB34)*Assumptions!$C$18</f>
        <v>62319.1838556909</v>
      </c>
    </row>
    <row r="11" customFormat="false" ht="15" hidden="false" customHeight="false" outlineLevel="0" collapsed="false">
      <c r="A11" s="68" t="s">
        <v>1354</v>
      </c>
      <c r="B11" s="69"/>
      <c r="C11" s="70" t="n">
        <f aca="false">SUM(E11:P11)</f>
        <v>839627.148776531</v>
      </c>
      <c r="D11" s="70" t="n">
        <f aca="false">SUM(Q11:AB11)</f>
        <v>774629.472313346</v>
      </c>
      <c r="E11" s="70" t="n">
        <f aca="false">E9+E10</f>
        <v>57940.6074443022</v>
      </c>
      <c r="F11" s="70" t="n">
        <f aca="false">F9+F10</f>
        <v>58342.0309627074</v>
      </c>
      <c r="G11" s="70" t="n">
        <f aca="false">G9+G10</f>
        <v>63976.1862100155</v>
      </c>
      <c r="H11" s="70" t="n">
        <f aca="false">H9+H10</f>
        <v>69995.1430306057</v>
      </c>
      <c r="I11" s="70" t="n">
        <f aca="false">I9+I10</f>
        <v>68572.0765184845</v>
      </c>
      <c r="J11" s="70" t="n">
        <f aca="false">J9+J10</f>
        <v>67612.9639656</v>
      </c>
      <c r="K11" s="70" t="n">
        <f aca="false">K9+K10</f>
        <v>69186.1006713973</v>
      </c>
      <c r="L11" s="70" t="n">
        <f aca="false">L9+L10</f>
        <v>69805.5291201082</v>
      </c>
      <c r="M11" s="70" t="n">
        <f aca="false">M9+M10</f>
        <v>68474.2290321851</v>
      </c>
      <c r="N11" s="70" t="n">
        <f aca="false">N9+N10</f>
        <v>74670.2869497913</v>
      </c>
      <c r="O11" s="70" t="n">
        <f aca="false">O9+O10</f>
        <v>90273.7761462685</v>
      </c>
      <c r="P11" s="70" t="n">
        <f aca="false">P9+P10</f>
        <v>80778.2187250657</v>
      </c>
      <c r="Q11" s="70" t="n">
        <f aca="false">Q9+Q10</f>
        <v>58150.3229557552</v>
      </c>
      <c r="R11" s="70" t="n">
        <f aca="false">R9+R10</f>
        <v>58723.5821976192</v>
      </c>
      <c r="S11" s="70" t="n">
        <f aca="false">S9+S10</f>
        <v>63745.7327185132</v>
      </c>
      <c r="T11" s="70" t="n">
        <f aca="false">T9+T10</f>
        <v>65422.4776586562</v>
      </c>
      <c r="U11" s="70" t="n">
        <f aca="false">U9+U10</f>
        <v>65290.2848401332</v>
      </c>
      <c r="V11" s="70" t="n">
        <f aca="false">V9+V10</f>
        <v>62347.6968654918</v>
      </c>
      <c r="W11" s="70" t="n">
        <f aca="false">W9+W10</f>
        <v>56434.2056229081</v>
      </c>
      <c r="X11" s="70" t="n">
        <f aca="false">X9+X10</f>
        <v>57100.7528510899</v>
      </c>
      <c r="Y11" s="70" t="n">
        <f aca="false">Y9+Y10</f>
        <v>63196.2361279664</v>
      </c>
      <c r="Z11" s="70" t="n">
        <f aca="false">Z9+Z10</f>
        <v>68202.6712002122</v>
      </c>
      <c r="AA11" s="70" t="n">
        <f aca="false">AA9+AA10</f>
        <v>82309.0778673733</v>
      </c>
      <c r="AB11" s="70" t="n">
        <f aca="false">AB9+AB10</f>
        <v>73706.4314076275</v>
      </c>
    </row>
    <row r="12" customFormat="false" ht="15" hidden="false" customHeight="false" outlineLevel="0" collapsed="false">
      <c r="A12" s="22" t="s">
        <v>1355</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row>
    <row r="13" customFormat="false" ht="15" hidden="false" customHeight="false" outlineLevel="0" collapsed="false">
      <c r="A13" s="28" t="s">
        <v>1356</v>
      </c>
      <c r="B13" s="58"/>
      <c r="C13" s="59" t="n">
        <f aca="false">SUM(E13:P13)</f>
        <v>715103.384975102</v>
      </c>
      <c r="D13" s="59" t="n">
        <f aca="false">SUM(Q13:AB13)</f>
        <v>652964.118661633</v>
      </c>
      <c r="E13" s="71" t="n">
        <f aca="false">E10</f>
        <v>49105.4586443022</v>
      </c>
      <c r="F13" s="71" t="n">
        <f aca="false">F10</f>
        <v>48628.6453627074</v>
      </c>
      <c r="G13" s="71" t="n">
        <f aca="false">G10</f>
        <v>54300.5022100155</v>
      </c>
      <c r="H13" s="71" t="n">
        <f aca="false">H10</f>
        <v>59658.1246306057</v>
      </c>
      <c r="I13" s="71" t="n">
        <f aca="false">I10</f>
        <v>58149.4285184845</v>
      </c>
      <c r="J13" s="71" t="n">
        <f aca="false">J10</f>
        <v>57475.0591656</v>
      </c>
      <c r="K13" s="71" t="n">
        <f aca="false">K10</f>
        <v>59203.4038713973</v>
      </c>
      <c r="L13" s="71" t="n">
        <f aca="false">L10</f>
        <v>59911.5027201083</v>
      </c>
      <c r="M13" s="71" t="n">
        <f aca="false">M10</f>
        <v>58544.7954321851</v>
      </c>
      <c r="N13" s="71" t="n">
        <f aca="false">N10</f>
        <v>63494.9344826482</v>
      </c>
      <c r="O13" s="71" t="n">
        <f aca="false">O10</f>
        <v>77524.6923196137</v>
      </c>
      <c r="P13" s="71" t="n">
        <f aca="false">P10</f>
        <v>69106.8376174344</v>
      </c>
      <c r="Q13" s="71" t="n">
        <f aca="false">Q10</f>
        <v>49302.6066456827</v>
      </c>
      <c r="R13" s="71" t="n">
        <f aca="false">R10</f>
        <v>49302.6066456827</v>
      </c>
      <c r="S13" s="71" t="n">
        <f aca="false">S10</f>
        <v>53862.1097804689</v>
      </c>
      <c r="T13" s="71" t="n">
        <f aca="false">T10</f>
        <v>55059.6694928274</v>
      </c>
      <c r="U13" s="71" t="n">
        <f aca="false">U10</f>
        <v>55059.6694928274</v>
      </c>
      <c r="V13" s="71" t="n">
        <f aca="false">V10</f>
        <v>52397.977518186</v>
      </c>
      <c r="W13" s="71" t="n">
        <f aca="false">W10</f>
        <v>47244.5675033868</v>
      </c>
      <c r="X13" s="71" t="n">
        <f aca="false">X10</f>
        <v>48059.8453917682</v>
      </c>
      <c r="Y13" s="71" t="n">
        <f aca="false">Y10</f>
        <v>53196.9582130758</v>
      </c>
      <c r="Z13" s="71" t="n">
        <f aca="false">Z10</f>
        <v>57278.0710343834</v>
      </c>
      <c r="AA13" s="71" t="n">
        <f aca="false">AA10</f>
        <v>69880.8530876523</v>
      </c>
      <c r="AB13" s="71" t="n">
        <f aca="false">AB10</f>
        <v>62319.1838556909</v>
      </c>
    </row>
    <row r="14" customFormat="false" ht="15" hidden="false" customHeight="false" outlineLevel="0" collapsed="false">
      <c r="A14" s="28" t="s">
        <v>73</v>
      </c>
      <c r="B14" s="58"/>
      <c r="C14" s="59" t="n">
        <f aca="false">SUM(E14:P14)</f>
        <v>70269.276</v>
      </c>
      <c r="D14" s="59" t="n">
        <f aca="false">SUM(Q14:AB14)</f>
        <v>70076.88</v>
      </c>
      <c r="E14" s="60" t="n">
        <f aca="false">Overheads!E33*Assumptions!$C$18</f>
        <v>5148.864</v>
      </c>
      <c r="F14" s="60" t="n">
        <f aca="false">Overheads!F33*Assumptions!$C$18</f>
        <v>5616.144</v>
      </c>
      <c r="G14" s="60" t="n">
        <f aca="false">Overheads!G33*Assumptions!$C$18</f>
        <v>6778.704</v>
      </c>
      <c r="H14" s="60" t="n">
        <f aca="false">Overheads!H33*Assumptions!$C$18</f>
        <v>5626.56</v>
      </c>
      <c r="I14" s="60" t="n">
        <f aca="false">Overheads!I33*Assumptions!$C$18</f>
        <v>6234.036</v>
      </c>
      <c r="J14" s="60" t="n">
        <f aca="false">Overheads!J33*Assumptions!$C$18</f>
        <v>5457.06</v>
      </c>
      <c r="K14" s="60" t="n">
        <f aca="false">Overheads!K33*Assumptions!$C$18</f>
        <v>6023.124</v>
      </c>
      <c r="L14" s="60" t="n">
        <f aca="false">Overheads!L33*Assumptions!$C$18</f>
        <v>5192.784</v>
      </c>
      <c r="M14" s="60" t="n">
        <f aca="false">Overheads!M33*Assumptions!$C$18</f>
        <v>5508</v>
      </c>
      <c r="N14" s="60" t="n">
        <f aca="false">Overheads!N33*Assumptions!$C$18</f>
        <v>6588</v>
      </c>
      <c r="O14" s="60" t="n">
        <f aca="false">Overheads!O33*Assumptions!$C$18</f>
        <v>6588</v>
      </c>
      <c r="P14" s="60" t="n">
        <f aca="false">Overheads!P33*Assumptions!$C$18</f>
        <v>5508</v>
      </c>
      <c r="Q14" s="60" t="n">
        <f aca="false">Overheads!Q33*Assumptions!$C$18</f>
        <v>6159.24</v>
      </c>
      <c r="R14" s="60" t="n">
        <f aca="false">Overheads!R33*Assumptions!$C$18</f>
        <v>5673.24</v>
      </c>
      <c r="S14" s="60" t="n">
        <f aca="false">Overheads!S33*Assumptions!$C$18</f>
        <v>6105.24</v>
      </c>
      <c r="T14" s="60" t="n">
        <f aca="false">Overheads!T33*Assumptions!$C$18</f>
        <v>6753.24</v>
      </c>
      <c r="U14" s="60" t="n">
        <f aca="false">Overheads!U33*Assumptions!$C$18</f>
        <v>5673.24</v>
      </c>
      <c r="V14" s="60" t="n">
        <f aca="false">Overheads!V33*Assumptions!$C$18</f>
        <v>5673.24</v>
      </c>
      <c r="W14" s="60" t="n">
        <f aca="false">Overheads!W33*Assumptions!$C$18</f>
        <v>5673.24</v>
      </c>
      <c r="X14" s="60" t="n">
        <f aca="false">Overheads!X33*Assumptions!$C$18</f>
        <v>5673.24</v>
      </c>
      <c r="Y14" s="60" t="n">
        <f aca="false">Overheads!Y33*Assumptions!$C$18</f>
        <v>5673.24</v>
      </c>
      <c r="Z14" s="60" t="n">
        <f aca="false">Overheads!Z33*Assumptions!$C$18</f>
        <v>5673.24</v>
      </c>
      <c r="AA14" s="60" t="n">
        <f aca="false">Overheads!AA33*Assumptions!$C$18</f>
        <v>5673.24</v>
      </c>
      <c r="AB14" s="60" t="n">
        <f aca="false">Overheads!AB33*Assumptions!$C$18</f>
        <v>5673.24</v>
      </c>
    </row>
    <row r="15" customFormat="false" ht="15" hidden="false" customHeight="false" outlineLevel="0" collapsed="false">
      <c r="A15" s="28" t="s">
        <v>1357</v>
      </c>
      <c r="B15" s="58"/>
      <c r="C15" s="59" t="n">
        <f aca="false">SUM(E15:P15)</f>
        <v>16672.8302616206</v>
      </c>
      <c r="D15" s="59" t="n">
        <f aca="false">SUM(Q15:AB15)</f>
        <v>8179.58979757544</v>
      </c>
      <c r="E15" s="60" t="n">
        <f aca="false">Utilisation!E84*Assumptions!$C$26*Assumptions!$C$18</f>
        <v>486.03168</v>
      </c>
      <c r="F15" s="60" t="n">
        <f aca="false">Utilisation!F84*Assumptions!$C$26*Assumptions!$C$18</f>
        <v>568.43328</v>
      </c>
      <c r="G15" s="60" t="n">
        <f aca="false">Utilisation!G84*Assumptions!$C$26*Assumptions!$C$18</f>
        <v>492.0192</v>
      </c>
      <c r="H15" s="60" t="n">
        <f aca="false">Utilisation!H84*Assumptions!$C$26*Assumptions!$C$18</f>
        <v>627.12096</v>
      </c>
      <c r="I15" s="60" t="n">
        <f aca="false">Utilisation!I84*Assumptions!$C$26*Assumptions!$C$18</f>
        <v>500.15808</v>
      </c>
      <c r="J15" s="60" t="n">
        <f aca="false">Utilisation!J84*Assumptions!$C$26*Assumptions!$C$18</f>
        <v>2451.48</v>
      </c>
      <c r="K15" s="60" t="n">
        <f aca="false">Utilisation!K84*Assumptions!$C$26*Assumptions!$C$18</f>
        <v>5729.61792</v>
      </c>
      <c r="L15" s="60" t="n">
        <f aca="false">Utilisation!L84*Assumptions!$C$26*Assumptions!$C$18</f>
        <v>3117.7344</v>
      </c>
      <c r="M15" s="60" t="n">
        <f aca="false">Utilisation!M84*Assumptions!$C$26*Assumptions!$C$18</f>
        <v>1116.23474162056</v>
      </c>
      <c r="N15" s="60" t="n">
        <f aca="false">Utilisation!N84*Assumptions!$C$26*Assumptions!$C$18</f>
        <v>528</v>
      </c>
      <c r="O15" s="60" t="n">
        <f aca="false">Utilisation!O84*Assumptions!$C$26*Assumptions!$C$18</f>
        <v>528</v>
      </c>
      <c r="P15" s="60" t="n">
        <f aca="false">Utilisation!P84*Assumptions!$C$26*Assumptions!$C$18</f>
        <v>528</v>
      </c>
      <c r="Q15" s="60" t="n">
        <f aca="false">Utilisation!Q84*Assumptions!$C$26*Assumptions!$C$18</f>
        <v>551.76</v>
      </c>
      <c r="R15" s="60" t="n">
        <f aca="false">Utilisation!R84*Assumptions!$C$26*Assumptions!$C$18</f>
        <v>551.76</v>
      </c>
      <c r="S15" s="60" t="n">
        <f aca="false">Utilisation!S84*Assumptions!$C$26*Assumptions!$C$18</f>
        <v>551.76</v>
      </c>
      <c r="T15" s="60" t="n">
        <f aca="false">Utilisation!T84*Assumptions!$C$26*Assumptions!$C$18</f>
        <v>551.76</v>
      </c>
      <c r="U15" s="60" t="n">
        <f aca="false">Utilisation!U84*Assumptions!$C$26*Assumptions!$C$18</f>
        <v>551.76</v>
      </c>
      <c r="V15" s="60" t="n">
        <f aca="false">Utilisation!V84*Assumptions!$C$26*Assumptions!$C$18</f>
        <v>551.76</v>
      </c>
      <c r="W15" s="60" t="n">
        <f aca="false">Utilisation!W84*Assumptions!$C$26*Assumptions!$C$18</f>
        <v>2110.22979757544</v>
      </c>
      <c r="X15" s="60" t="n">
        <f aca="false">Utilisation!X84*Assumptions!$C$26*Assumptions!$C$18</f>
        <v>551.76</v>
      </c>
      <c r="Y15" s="60" t="n">
        <f aca="false">Utilisation!Y84*Assumptions!$C$26*Assumptions!$C$18</f>
        <v>551.76</v>
      </c>
      <c r="Z15" s="60" t="n">
        <f aca="false">Utilisation!Z84*Assumptions!$C$26*Assumptions!$C$18</f>
        <v>551.76</v>
      </c>
      <c r="AA15" s="60" t="n">
        <f aca="false">Utilisation!AA84*Assumptions!$C$26*Assumptions!$C$18</f>
        <v>551.76</v>
      </c>
      <c r="AB15" s="60" t="n">
        <f aca="false">Utilisation!AB84*Assumptions!$C$26*Assumptions!$C$18</f>
        <v>551.76</v>
      </c>
    </row>
    <row r="16" customFormat="false" ht="15" hidden="false" customHeight="false" outlineLevel="0" collapsed="false">
      <c r="A16" s="28" t="s">
        <v>454</v>
      </c>
      <c r="B16" s="58"/>
      <c r="C16" s="59" t="n">
        <f aca="false">SUM(E16:P16)</f>
        <v>10560</v>
      </c>
      <c r="D16" s="59" t="n">
        <f aca="false">SUM(Q16:AB16)</f>
        <v>0</v>
      </c>
      <c r="E16" s="60" t="n">
        <f aca="false">Projects!E311*Assumptions!$C$18</f>
        <v>0</v>
      </c>
      <c r="F16" s="60" t="n">
        <f aca="false">Projects!F311*Assumptions!$C$18</f>
        <v>0</v>
      </c>
      <c r="G16" s="60" t="n">
        <f aca="false">Projects!G311*Assumptions!$C$18</f>
        <v>0</v>
      </c>
      <c r="H16" s="60" t="n">
        <f aca="false">Projects!H311*Assumptions!$C$18</f>
        <v>0</v>
      </c>
      <c r="I16" s="60" t="n">
        <f aca="false">Projects!I311*Assumptions!$C$18</f>
        <v>0</v>
      </c>
      <c r="J16" s="60" t="n">
        <f aca="false">Projects!J311*Assumptions!$C$18</f>
        <v>0</v>
      </c>
      <c r="K16" s="60" t="n">
        <f aca="false">Projects!K311*Assumptions!$C$18</f>
        <v>1008</v>
      </c>
      <c r="L16" s="60" t="n">
        <f aca="false">Projects!L311*Assumptions!$C$18</f>
        <v>1344</v>
      </c>
      <c r="M16" s="60" t="n">
        <f aca="false">Projects!M311*Assumptions!$C$18</f>
        <v>1610.33333333333</v>
      </c>
      <c r="N16" s="60" t="n">
        <f aca="false">Projects!N311*Assumptions!$C$18</f>
        <v>2848.33333333333</v>
      </c>
      <c r="O16" s="60" t="n">
        <f aca="false">Projects!O311*Assumptions!$C$18</f>
        <v>2624.33333333333</v>
      </c>
      <c r="P16" s="60" t="n">
        <f aca="false">Projects!P311*Assumptions!$C$18</f>
        <v>1125</v>
      </c>
      <c r="Q16" s="60" t="n">
        <f aca="false">Projects!Q311*Assumptions!$C$18</f>
        <v>0</v>
      </c>
      <c r="R16" s="60" t="n">
        <f aca="false">Projects!R311*Assumptions!$C$18</f>
        <v>0</v>
      </c>
      <c r="S16" s="60" t="n">
        <f aca="false">Projects!S311*Assumptions!$C$18</f>
        <v>0</v>
      </c>
      <c r="T16" s="60" t="n">
        <f aca="false">Projects!T311*Assumptions!$C$18</f>
        <v>0</v>
      </c>
      <c r="U16" s="60" t="n">
        <f aca="false">Projects!U311*Assumptions!$C$18</f>
        <v>0</v>
      </c>
      <c r="V16" s="60" t="n">
        <f aca="false">Projects!V311*Assumptions!$C$18</f>
        <v>0</v>
      </c>
      <c r="W16" s="60" t="n">
        <f aca="false">Projects!W311*Assumptions!$C$18</f>
        <v>0</v>
      </c>
      <c r="X16" s="60" t="n">
        <f aca="false">Projects!X311*Assumptions!$C$18</f>
        <v>0</v>
      </c>
      <c r="Y16" s="60" t="n">
        <f aca="false">Projects!Y311*Assumptions!$C$18</f>
        <v>0</v>
      </c>
      <c r="Z16" s="60" t="n">
        <f aca="false">Projects!Z311*Assumptions!$C$18</f>
        <v>0</v>
      </c>
      <c r="AA16" s="60" t="n">
        <f aca="false">Projects!AA311*Assumptions!$C$18</f>
        <v>0</v>
      </c>
      <c r="AB16" s="60" t="n">
        <f aca="false">Projects!AB311*Assumptions!$C$18</f>
        <v>0</v>
      </c>
    </row>
    <row r="17" customFormat="false" ht="15" hidden="false" customHeight="false" outlineLevel="0" collapsed="false">
      <c r="A17" s="28" t="s">
        <v>1358</v>
      </c>
      <c r="B17" s="58"/>
      <c r="C17" s="59" t="n">
        <f aca="false">SUM(E17:P17)</f>
        <v>9216</v>
      </c>
      <c r="D17" s="59" t="n">
        <f aca="false">SUM(Q17:AB17)</f>
        <v>18221.28</v>
      </c>
      <c r="E17" s="60" t="n">
        <f aca="false">Fixed_Assets!E25*Assumptions!$C$18</f>
        <v>624</v>
      </c>
      <c r="F17" s="60" t="n">
        <f aca="false">Fixed_Assets!F25*Assumptions!$C$18</f>
        <v>336</v>
      </c>
      <c r="G17" s="60" t="n">
        <f aca="false">Fixed_Assets!G25*Assumptions!$C$18</f>
        <v>744</v>
      </c>
      <c r="H17" s="60" t="n">
        <f aca="false">Fixed_Assets!H25*Assumptions!$C$18</f>
        <v>1248</v>
      </c>
      <c r="I17" s="60" t="n">
        <f aca="false">Fixed_Assets!I25*Assumptions!$C$18</f>
        <v>216</v>
      </c>
      <c r="J17" s="60" t="n">
        <f aca="false">Fixed_Assets!J25*Assumptions!$C$18</f>
        <v>576</v>
      </c>
      <c r="K17" s="60" t="n">
        <f aca="false">Fixed_Assets!K25*Assumptions!$C$18</f>
        <v>1152</v>
      </c>
      <c r="L17" s="60" t="n">
        <f aca="false">Fixed_Assets!L25*Assumptions!$C$18</f>
        <v>384</v>
      </c>
      <c r="M17" s="60" t="n">
        <f aca="false">Fixed_Assets!M25*Assumptions!$C$18</f>
        <v>672</v>
      </c>
      <c r="N17" s="60" t="n">
        <f aca="false">Fixed_Assets!N25*Assumptions!$C$18</f>
        <v>1296</v>
      </c>
      <c r="O17" s="60" t="n">
        <f aca="false">Fixed_Assets!O25*Assumptions!$C$18</f>
        <v>1296</v>
      </c>
      <c r="P17" s="60" t="n">
        <f aca="false">Fixed_Assets!P25*Assumptions!$C$18</f>
        <v>672</v>
      </c>
      <c r="Q17" s="60" t="n">
        <f aca="false">Fixed_Assets!Q25*Assumptions!$C$18</f>
        <v>983.04</v>
      </c>
      <c r="R17" s="60" t="n">
        <f aca="false">Fixed_Assets!R25*Assumptions!$C$18</f>
        <v>702.24</v>
      </c>
      <c r="S17" s="60" t="n">
        <f aca="false">Fixed_Assets!S25*Assumptions!$C$18</f>
        <v>9591.84</v>
      </c>
      <c r="T17" s="60" t="n">
        <f aca="false">Fixed_Assets!T25*Assumptions!$C$18</f>
        <v>1326.24</v>
      </c>
      <c r="U17" s="60" t="n">
        <f aca="false">Fixed_Assets!U25*Assumptions!$C$18</f>
        <v>702.24</v>
      </c>
      <c r="V17" s="60" t="n">
        <f aca="false">Fixed_Assets!V25*Assumptions!$C$18</f>
        <v>702.24</v>
      </c>
      <c r="W17" s="60" t="n">
        <f aca="false">Fixed_Assets!W25*Assumptions!$C$18</f>
        <v>702.24</v>
      </c>
      <c r="X17" s="60" t="n">
        <f aca="false">Fixed_Assets!X25*Assumptions!$C$18</f>
        <v>702.24</v>
      </c>
      <c r="Y17" s="60" t="n">
        <f aca="false">Fixed_Assets!Y25*Assumptions!$C$18</f>
        <v>702.24</v>
      </c>
      <c r="Z17" s="60" t="n">
        <f aca="false">Fixed_Assets!Z25*Assumptions!$C$18</f>
        <v>702.24</v>
      </c>
      <c r="AA17" s="60" t="n">
        <f aca="false">Fixed_Assets!AA25*Assumptions!$C$18</f>
        <v>702.24</v>
      </c>
      <c r="AB17" s="60" t="n">
        <f aca="false">Fixed_Assets!AB25*Assumptions!$C$18</f>
        <v>702.24</v>
      </c>
    </row>
    <row r="18" customFormat="false" ht="15" hidden="false" customHeight="false" outlineLevel="0" collapsed="false">
      <c r="A18" s="68" t="s">
        <v>1359</v>
      </c>
      <c r="B18" s="69"/>
      <c r="C18" s="70" t="n">
        <f aca="false">SUM(E18:P18)</f>
        <v>821821.491236723</v>
      </c>
      <c r="D18" s="70" t="n">
        <f aca="false">SUM(Q18:AB18)</f>
        <v>749441.868459208</v>
      </c>
      <c r="E18" s="70" t="n">
        <f aca="false">E13+E14+E15+E16+E17</f>
        <v>55364.3543243022</v>
      </c>
      <c r="F18" s="70" t="n">
        <f aca="false">F13+F14+F15+F16+F17</f>
        <v>55149.2226427074</v>
      </c>
      <c r="G18" s="70" t="n">
        <f aca="false">G13+G14+G15+G16+G17</f>
        <v>62315.2254100155</v>
      </c>
      <c r="H18" s="70" t="n">
        <f aca="false">H13+H14+H15+H16+H17</f>
        <v>67159.8055906057</v>
      </c>
      <c r="I18" s="70" t="n">
        <f aca="false">I13+I14+I15+I16+I17</f>
        <v>65099.6225984845</v>
      </c>
      <c r="J18" s="70" t="n">
        <f aca="false">J13+J14+J15+J16+J17</f>
        <v>65959.5991656</v>
      </c>
      <c r="K18" s="70" t="n">
        <f aca="false">K13+K14+K15+K16+K17</f>
        <v>73116.1457913973</v>
      </c>
      <c r="L18" s="70" t="n">
        <f aca="false">L13+L14+L15+L16+L17</f>
        <v>69950.0211201082</v>
      </c>
      <c r="M18" s="70" t="n">
        <f aca="false">M13+M14+M15+M16+M17</f>
        <v>67451.363507139</v>
      </c>
      <c r="N18" s="70" t="n">
        <f aca="false">N13+N14+N15+N16+N17</f>
        <v>74755.2678159815</v>
      </c>
      <c r="O18" s="70" t="n">
        <f aca="false">O13+O14+O15+O16+O17</f>
        <v>88561.025652947</v>
      </c>
      <c r="P18" s="70" t="n">
        <f aca="false">P13+P14+P15+P16+P17</f>
        <v>76939.8376174344</v>
      </c>
      <c r="Q18" s="70" t="n">
        <f aca="false">Q13+Q14+Q15+Q16+Q17</f>
        <v>56996.6466456827</v>
      </c>
      <c r="R18" s="70" t="n">
        <f aca="false">R13+R14+R15+R16+R17</f>
        <v>56229.8466456827</v>
      </c>
      <c r="S18" s="70" t="n">
        <f aca="false">S13+S14+S15+S16+S17</f>
        <v>70110.9497804689</v>
      </c>
      <c r="T18" s="70" t="n">
        <f aca="false">T13+T14+T15+T16+T17</f>
        <v>63690.9094928274</v>
      </c>
      <c r="U18" s="70" t="n">
        <f aca="false">U13+U14+U15+U16+U17</f>
        <v>61986.9094928274</v>
      </c>
      <c r="V18" s="70" t="n">
        <f aca="false">V13+V14+V15+V16+V17</f>
        <v>59325.217518186</v>
      </c>
      <c r="W18" s="70" t="n">
        <f aca="false">W13+W14+W15+W16+W17</f>
        <v>55730.2773009622</v>
      </c>
      <c r="X18" s="70" t="n">
        <f aca="false">X13+X14+X15+X16+X17</f>
        <v>54987.0853917682</v>
      </c>
      <c r="Y18" s="70" t="n">
        <f aca="false">Y13+Y14+Y15+Y16+Y17</f>
        <v>60124.1982130758</v>
      </c>
      <c r="Z18" s="70" t="n">
        <f aca="false">Z13+Z14+Z15+Z16+Z17</f>
        <v>64205.3110343834</v>
      </c>
      <c r="AA18" s="70" t="n">
        <f aca="false">AA13+AA14+AA15+AA16+AA17</f>
        <v>76808.0930876523</v>
      </c>
      <c r="AB18" s="70" t="n">
        <f aca="false">AB13+AB14+AB15+AB16+AB17</f>
        <v>69246.4238556909</v>
      </c>
    </row>
    <row r="19" customFormat="false" ht="15" hidden="false" customHeight="false" outlineLevel="0" collapsed="false">
      <c r="A19" s="22" t="s">
        <v>1360</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false" outlineLevel="0" collapsed="false">
      <c r="A20" s="28" t="s">
        <v>1361</v>
      </c>
      <c r="B20" s="58"/>
      <c r="C20" s="59" t="n">
        <f aca="false">SUM(E20:P20)</f>
        <v>17805.6575398086</v>
      </c>
      <c r="D20" s="59" t="n">
        <f aca="false">SUM(Q20:AB20)</f>
        <v>25187.6038541382</v>
      </c>
      <c r="E20" s="71" t="n">
        <f aca="false">E11-E18</f>
        <v>2576.25312</v>
      </c>
      <c r="F20" s="71" t="n">
        <f aca="false">F11-F18</f>
        <v>3192.80832</v>
      </c>
      <c r="G20" s="71" t="n">
        <f aca="false">G11-G18</f>
        <v>1660.9608</v>
      </c>
      <c r="H20" s="71" t="n">
        <f aca="false">H11-H18</f>
        <v>2835.33744</v>
      </c>
      <c r="I20" s="71" t="n">
        <f aca="false">I11-I18</f>
        <v>3472.45391999999</v>
      </c>
      <c r="J20" s="71" t="n">
        <f aca="false">J11-J18</f>
        <v>1653.36480000001</v>
      </c>
      <c r="K20" s="71" t="n">
        <f aca="false">K11-K18</f>
        <v>-3930.04512</v>
      </c>
      <c r="L20" s="71" t="n">
        <f aca="false">L11-L18</f>
        <v>-144.491999999998</v>
      </c>
      <c r="M20" s="71" t="n">
        <f aca="false">M11-M18</f>
        <v>1022.86552504612</v>
      </c>
      <c r="N20" s="71" t="n">
        <f aca="false">N11-N18</f>
        <v>-84.9808661902644</v>
      </c>
      <c r="O20" s="71" t="n">
        <f aca="false">O11-O18</f>
        <v>1712.75049332148</v>
      </c>
      <c r="P20" s="71" t="n">
        <f aca="false">P11-P18</f>
        <v>3838.38110763129</v>
      </c>
      <c r="Q20" s="71" t="n">
        <f aca="false">Q11-Q18</f>
        <v>1153.67631007249</v>
      </c>
      <c r="R20" s="71" t="n">
        <f aca="false">R11-R18</f>
        <v>2493.73555193654</v>
      </c>
      <c r="S20" s="71" t="n">
        <f aca="false">S11-S18</f>
        <v>-6365.21706195569</v>
      </c>
      <c r="T20" s="71" t="n">
        <f aca="false">T11-T18</f>
        <v>1731.56816582877</v>
      </c>
      <c r="U20" s="71" t="n">
        <f aca="false">U11-U18</f>
        <v>3303.3753473058</v>
      </c>
      <c r="V20" s="71" t="n">
        <f aca="false">V11-V18</f>
        <v>3022.4793473058</v>
      </c>
      <c r="W20" s="71" t="n">
        <f aca="false">W11-W18</f>
        <v>703.928321945896</v>
      </c>
      <c r="X20" s="71" t="n">
        <f aca="false">X11-X18</f>
        <v>2113.66745932167</v>
      </c>
      <c r="Y20" s="71" t="n">
        <f aca="false">Y11-Y18</f>
        <v>3072.03791489059</v>
      </c>
      <c r="Z20" s="71" t="n">
        <f aca="false">Z11-Z18</f>
        <v>3997.36016582878</v>
      </c>
      <c r="AA20" s="71" t="n">
        <f aca="false">AA11-AA18</f>
        <v>5500.98477972101</v>
      </c>
      <c r="AB20" s="71" t="n">
        <f aca="false">AB11-AB18</f>
        <v>4460.00755193655</v>
      </c>
    </row>
    <row r="21" customFormat="false" ht="15" hidden="false" customHeight="false" outlineLevel="0" collapsed="false">
      <c r="A21" s="28" t="s">
        <v>1362</v>
      </c>
      <c r="B21" s="58"/>
      <c r="E21" s="60" t="n">
        <f aca="false">Inputs_Actuals!$C$190</f>
        <v>3800</v>
      </c>
      <c r="F21" s="71" t="n">
        <f aca="false">E24</f>
        <v>2576.25312</v>
      </c>
      <c r="G21" s="71" t="n">
        <f aca="false">F24</f>
        <v>3192.80832</v>
      </c>
      <c r="H21" s="71" t="n">
        <f aca="false">G24</f>
        <v>1660.9608</v>
      </c>
      <c r="I21" s="71" t="n">
        <f aca="false">H24</f>
        <v>2835.33744</v>
      </c>
      <c r="J21" s="71" t="n">
        <f aca="false">I24</f>
        <v>3472.45391999999</v>
      </c>
      <c r="K21" s="71" t="n">
        <f aca="false">J24</f>
        <v>1653.36480000001</v>
      </c>
      <c r="L21" s="71" t="n">
        <f aca="false">K24</f>
        <v>-3930.04512</v>
      </c>
      <c r="M21" s="71" t="n">
        <f aca="false">L24</f>
        <v>-4074.53711999999</v>
      </c>
      <c r="N21" s="71" t="n">
        <f aca="false">M24</f>
        <v>878.373525046118</v>
      </c>
      <c r="O21" s="71" t="n">
        <f aca="false">N24</f>
        <v>-84.9808661902644</v>
      </c>
      <c r="P21" s="71" t="n">
        <f aca="false">O24</f>
        <v>1627.76962713122</v>
      </c>
      <c r="Q21" s="71" t="n">
        <f aca="false">P24</f>
        <v>3838.38110763129</v>
      </c>
      <c r="R21" s="71" t="n">
        <f aca="false">Q24</f>
        <v>1153.67631007249</v>
      </c>
      <c r="S21" s="71" t="n">
        <f aca="false">R24</f>
        <v>2493.73555193654</v>
      </c>
      <c r="T21" s="71" t="n">
        <f aca="false">S24</f>
        <v>-6365.21706195569</v>
      </c>
      <c r="U21" s="71" t="n">
        <f aca="false">T24</f>
        <v>-4633.64889612692</v>
      </c>
      <c r="V21" s="71" t="n">
        <f aca="false">U24</f>
        <v>3303.3753473058</v>
      </c>
      <c r="W21" s="71" t="n">
        <f aca="false">V24</f>
        <v>3022.4793473058</v>
      </c>
      <c r="X21" s="71" t="n">
        <f aca="false">W24</f>
        <v>703.928321945896</v>
      </c>
      <c r="Y21" s="71" t="n">
        <f aca="false">X24</f>
        <v>2113.66745932167</v>
      </c>
      <c r="Z21" s="71" t="n">
        <f aca="false">Y24</f>
        <v>3072.03791489059</v>
      </c>
      <c r="AA21" s="71" t="n">
        <f aca="false">Z24</f>
        <v>3997.36016582878</v>
      </c>
      <c r="AB21" s="71" t="n">
        <f aca="false">AA24</f>
        <v>5500.98477972101</v>
      </c>
    </row>
    <row r="22" customFormat="false" ht="15" hidden="false" customHeight="false" outlineLevel="0" collapsed="false">
      <c r="A22" s="28" t="s">
        <v>1363</v>
      </c>
      <c r="B22" s="58"/>
      <c r="C22" s="59" t="n">
        <f aca="false">SUM(E22:P22)</f>
        <v>-21926.7944183676</v>
      </c>
      <c r="D22" s="59" t="n">
        <f aca="false">SUM(Q22:AB22)</f>
        <v>-30931.1944717886</v>
      </c>
      <c r="E22" s="60" t="n">
        <f aca="false">-MAX(0,Inputs_Actuals!$C$190)</f>
        <v>-3800</v>
      </c>
      <c r="F22" s="71" t="n">
        <f aca="false">-MAX(0,E20)</f>
        <v>-2576.25312</v>
      </c>
      <c r="G22" s="71" t="n">
        <f aca="false">-MAX(0,F20)</f>
        <v>-3192.80832</v>
      </c>
      <c r="H22" s="71" t="n">
        <f aca="false">-MAX(0,G20)</f>
        <v>-1660.9608</v>
      </c>
      <c r="I22" s="71" t="n">
        <f aca="false">-MAX(0,H20)</f>
        <v>-2835.33744</v>
      </c>
      <c r="J22" s="71" t="n">
        <f aca="false">-MAX(0,I20)</f>
        <v>-3472.45391999999</v>
      </c>
      <c r="K22" s="71" t="n">
        <f aca="false">-MAX(0,J20)</f>
        <v>-1653.36480000001</v>
      </c>
      <c r="L22" s="71" t="n">
        <f aca="false">-MAX(0,K20)</f>
        <v>-0</v>
      </c>
      <c r="M22" s="71" t="n">
        <f aca="false">-MAX(0,L20)</f>
        <v>-0</v>
      </c>
      <c r="N22" s="71" t="n">
        <f aca="false">-MAX(0,M20)</f>
        <v>-1022.86552504612</v>
      </c>
      <c r="O22" s="71" t="n">
        <f aca="false">-MAX(0,N20)</f>
        <v>-0</v>
      </c>
      <c r="P22" s="71" t="n">
        <f aca="false">-MAX(0,O20)</f>
        <v>-1712.75049332148</v>
      </c>
      <c r="Q22" s="71" t="n">
        <f aca="false">-MAX(0,P20)</f>
        <v>-3838.38110763129</v>
      </c>
      <c r="R22" s="71" t="n">
        <f aca="false">-MAX(0,Q20)</f>
        <v>-1153.67631007249</v>
      </c>
      <c r="S22" s="71" t="n">
        <f aca="false">-MAX(0,R20)</f>
        <v>-2493.73555193654</v>
      </c>
      <c r="T22" s="71" t="n">
        <f aca="false">-MAX(0,S20)</f>
        <v>-0</v>
      </c>
      <c r="U22" s="71" t="n">
        <f aca="false">-MAX(0,T20)</f>
        <v>-1731.56816582877</v>
      </c>
      <c r="V22" s="71" t="n">
        <f aca="false">-MAX(0,U20)</f>
        <v>-3303.3753473058</v>
      </c>
      <c r="W22" s="71" t="n">
        <f aca="false">-MAX(0,V20)</f>
        <v>-3022.4793473058</v>
      </c>
      <c r="X22" s="71" t="n">
        <f aca="false">-MAX(0,W20)</f>
        <v>-703.928321945896</v>
      </c>
      <c r="Y22" s="71" t="n">
        <f aca="false">-MAX(0,X20)</f>
        <v>-2113.66745932167</v>
      </c>
      <c r="Z22" s="71" t="n">
        <f aca="false">-MAX(0,Y20)</f>
        <v>-3072.03791489059</v>
      </c>
      <c r="AA22" s="71" t="n">
        <f aca="false">-MAX(0,Z20)</f>
        <v>-3997.36016582878</v>
      </c>
      <c r="AB22" s="71" t="n">
        <f aca="false">-MAX(0,AA20)</f>
        <v>-5500.98477972101</v>
      </c>
    </row>
    <row r="23" customFormat="false" ht="15" hidden="false" customHeight="false" outlineLevel="0" collapsed="false">
      <c r="A23" s="28" t="s">
        <v>1364</v>
      </c>
      <c r="B23" s="58"/>
      <c r="C23" s="59" t="n">
        <f aca="false">SUM(E23:P23)</f>
        <v>4159.51798619026</v>
      </c>
      <c r="D23" s="59" t="n">
        <f aca="false">SUM(Q23:AB23)</f>
        <v>6365.21706195569</v>
      </c>
      <c r="E23" s="71" t="n">
        <f aca="false">-MIN(0,0)</f>
        <v>-0</v>
      </c>
      <c r="F23" s="60" t="n">
        <f aca="false">-MIN(0,Inputs_Actuals!$C$190)</f>
        <v>-0</v>
      </c>
      <c r="G23" s="71" t="n">
        <f aca="false">-MIN(0,E20)</f>
        <v>-0</v>
      </c>
      <c r="H23" s="71" t="n">
        <f aca="false">-MIN(0,F20)</f>
        <v>-0</v>
      </c>
      <c r="I23" s="71" t="n">
        <f aca="false">-MIN(0,G20)</f>
        <v>-0</v>
      </c>
      <c r="J23" s="71" t="n">
        <f aca="false">-MIN(0,H20)</f>
        <v>-0</v>
      </c>
      <c r="K23" s="71" t="n">
        <f aca="false">-MIN(0,I20)</f>
        <v>-0</v>
      </c>
      <c r="L23" s="71" t="n">
        <f aca="false">-MIN(0,J20)</f>
        <v>-0</v>
      </c>
      <c r="M23" s="71" t="n">
        <f aca="false">-MIN(0,K20)</f>
        <v>3930.04512</v>
      </c>
      <c r="N23" s="71" t="n">
        <f aca="false">-MIN(0,L20)</f>
        <v>144.491999999998</v>
      </c>
      <c r="O23" s="71" t="n">
        <f aca="false">-MIN(0,M20)</f>
        <v>-0</v>
      </c>
      <c r="P23" s="71" t="n">
        <f aca="false">-MIN(0,N20)</f>
        <v>84.9808661902644</v>
      </c>
      <c r="Q23" s="71" t="n">
        <f aca="false">-MIN(0,O20)</f>
        <v>-0</v>
      </c>
      <c r="R23" s="71" t="n">
        <f aca="false">-MIN(0,P20)</f>
        <v>-0</v>
      </c>
      <c r="S23" s="71" t="n">
        <f aca="false">-MIN(0,Q20)</f>
        <v>-0</v>
      </c>
      <c r="T23" s="71" t="n">
        <f aca="false">-MIN(0,R20)</f>
        <v>-0</v>
      </c>
      <c r="U23" s="71" t="n">
        <f aca="false">-MIN(0,S20)</f>
        <v>6365.21706195569</v>
      </c>
      <c r="V23" s="71" t="n">
        <f aca="false">-MIN(0,T20)</f>
        <v>-0</v>
      </c>
      <c r="W23" s="71" t="n">
        <f aca="false">-MIN(0,U20)</f>
        <v>-0</v>
      </c>
      <c r="X23" s="71" t="n">
        <f aca="false">-MIN(0,V20)</f>
        <v>-0</v>
      </c>
      <c r="Y23" s="71" t="n">
        <f aca="false">-MIN(0,W20)</f>
        <v>-0</v>
      </c>
      <c r="Z23" s="71" t="n">
        <f aca="false">-MIN(0,X20)</f>
        <v>-0</v>
      </c>
      <c r="AA23" s="71" t="n">
        <f aca="false">-MIN(0,Y20)</f>
        <v>-0</v>
      </c>
      <c r="AB23" s="71" t="n">
        <f aca="false">-MIN(0,Z20)</f>
        <v>-0</v>
      </c>
    </row>
    <row r="24" customFormat="false" ht="15" hidden="false" customHeight="false" outlineLevel="0" collapsed="false">
      <c r="A24" s="68" t="s">
        <v>1365</v>
      </c>
      <c r="B24" s="69"/>
      <c r="C24" s="70" t="n">
        <f aca="false">P24</f>
        <v>3838.38110763129</v>
      </c>
      <c r="D24" s="70" t="n">
        <f aca="false">AB24</f>
        <v>4460.00755193655</v>
      </c>
      <c r="E24" s="70" t="n">
        <f aca="false">E21+E20+E22+E23</f>
        <v>2576.25312</v>
      </c>
      <c r="F24" s="70" t="n">
        <f aca="false">F21+F20+F22+F23</f>
        <v>3192.80832</v>
      </c>
      <c r="G24" s="70" t="n">
        <f aca="false">G21+G20+G22+G23</f>
        <v>1660.9608</v>
      </c>
      <c r="H24" s="70" t="n">
        <f aca="false">H21+H20+H22+H23</f>
        <v>2835.33744</v>
      </c>
      <c r="I24" s="70" t="n">
        <f aca="false">I21+I20+I22+I23</f>
        <v>3472.45391999999</v>
      </c>
      <c r="J24" s="70" t="n">
        <f aca="false">J21+J20+J22+J23</f>
        <v>1653.36480000001</v>
      </c>
      <c r="K24" s="70" t="n">
        <f aca="false">K21+K20+K22+K23</f>
        <v>-3930.04512</v>
      </c>
      <c r="L24" s="70" t="n">
        <f aca="false">L21+L20+L22+L23</f>
        <v>-4074.53711999999</v>
      </c>
      <c r="M24" s="70" t="n">
        <f aca="false">M21+M20+M22+M23</f>
        <v>878.373525046118</v>
      </c>
      <c r="N24" s="70" t="n">
        <f aca="false">N21+N20+N22+N23</f>
        <v>-84.9808661902644</v>
      </c>
      <c r="O24" s="70" t="n">
        <f aca="false">O21+O20+O22+O23</f>
        <v>1627.76962713122</v>
      </c>
      <c r="P24" s="70" t="n">
        <f aca="false">P21+P20+P22+P23</f>
        <v>3838.38110763129</v>
      </c>
      <c r="Q24" s="70" t="n">
        <f aca="false">Q21+Q20+Q22+Q23</f>
        <v>1153.67631007249</v>
      </c>
      <c r="R24" s="70" t="n">
        <f aca="false">R21+R20+R22+R23</f>
        <v>2493.73555193654</v>
      </c>
      <c r="S24" s="70" t="n">
        <f aca="false">S21+S20+S22+S23</f>
        <v>-6365.21706195569</v>
      </c>
      <c r="T24" s="70" t="n">
        <f aca="false">T21+T20+T22+T23</f>
        <v>-4633.64889612692</v>
      </c>
      <c r="U24" s="70" t="n">
        <f aca="false">U21+U20+U22+U23</f>
        <v>3303.3753473058</v>
      </c>
      <c r="V24" s="70" t="n">
        <f aca="false">V21+V20+V22+V23</f>
        <v>3022.4793473058</v>
      </c>
      <c r="W24" s="70" t="n">
        <f aca="false">W21+W20+W22+W23</f>
        <v>703.928321945896</v>
      </c>
      <c r="X24" s="70" t="n">
        <f aca="false">X21+X20+X22+X23</f>
        <v>2113.66745932167</v>
      </c>
      <c r="Y24" s="70" t="n">
        <f aca="false">Y21+Y20+Y22+Y23</f>
        <v>3072.03791489059</v>
      </c>
      <c r="Z24" s="70" t="n">
        <f aca="false">Z21+Z20+Z22+Z23</f>
        <v>3997.36016582878</v>
      </c>
      <c r="AA24" s="70" t="n">
        <f aca="false">AA21+AA20+AA22+AA23</f>
        <v>5500.98477972101</v>
      </c>
      <c r="AB24" s="70" t="n">
        <f aca="false">AB21+AB20+AB22+AB23</f>
        <v>4460.00755193655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1366</v>
      </c>
    </row>
    <row r="3" customFormat="false" ht="15" hidden="false" customHeight="false" outlineLevel="0" collapsed="false">
      <c r="A3" s="49" t="s">
        <v>1367</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1368</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351</v>
      </c>
      <c r="B9" s="58" t="s">
        <v>1369</v>
      </c>
      <c r="C9" s="103" t="n">
        <v>9400</v>
      </c>
      <c r="D9" s="130" t="n">
        <v>1</v>
      </c>
    </row>
    <row r="10" customFormat="false" ht="15" hidden="false" customHeight="false" outlineLevel="0" collapsed="false">
      <c r="A10" s="28" t="s">
        <v>352</v>
      </c>
      <c r="B10" s="58" t="s">
        <v>1369</v>
      </c>
      <c r="C10" s="103" t="n">
        <v>6500</v>
      </c>
      <c r="D10" s="130" t="n">
        <v>0.25</v>
      </c>
    </row>
    <row r="11" customFormat="false" ht="15" hidden="false" customHeight="false" outlineLevel="0" collapsed="false">
      <c r="A11" s="28" t="s">
        <v>1370</v>
      </c>
      <c r="B11" s="58" t="s">
        <v>1369</v>
      </c>
      <c r="C11" s="103" t="n">
        <v>5100</v>
      </c>
      <c r="D11" s="130" t="n">
        <v>0.15</v>
      </c>
    </row>
    <row r="12" customFormat="false" ht="15" hidden="false" customHeight="false" outlineLevel="0" collapsed="false">
      <c r="A12" s="28" t="s">
        <v>1371</v>
      </c>
      <c r="B12" s="58" t="s">
        <v>1369</v>
      </c>
      <c r="C12" s="103" t="n">
        <v>3700</v>
      </c>
      <c r="D12" s="130" t="n">
        <v>0.6</v>
      </c>
    </row>
    <row r="13" customFormat="false" ht="15" hidden="false" customHeight="false" outlineLevel="0" collapsed="false">
      <c r="A13" s="28" t="s">
        <v>355</v>
      </c>
      <c r="B13" s="58" t="s">
        <v>1369</v>
      </c>
      <c r="C13" s="103" t="n">
        <v>800</v>
      </c>
      <c r="D13" s="130" t="n">
        <v>1</v>
      </c>
    </row>
    <row r="14" customFormat="false" ht="15" hidden="false" customHeight="false" outlineLevel="0" collapsed="false">
      <c r="A14" s="28" t="s">
        <v>1372</v>
      </c>
      <c r="B14" s="58" t="s">
        <v>1369</v>
      </c>
      <c r="C14" s="103" t="n">
        <v>2200</v>
      </c>
      <c r="D14" s="130" t="n">
        <v>0.7</v>
      </c>
    </row>
    <row r="15" customFormat="false" ht="15" hidden="false" customHeight="false" outlineLevel="0" collapsed="false">
      <c r="A15" s="28" t="s">
        <v>357</v>
      </c>
      <c r="B15" s="58" t="s">
        <v>1369</v>
      </c>
      <c r="C15" s="103" t="n">
        <v>2600</v>
      </c>
      <c r="D15" s="130" t="n">
        <v>1</v>
      </c>
    </row>
    <row r="16" customFormat="false" ht="15" hidden="false" customHeight="false" outlineLevel="0" collapsed="false">
      <c r="A16" s="28" t="s">
        <v>358</v>
      </c>
      <c r="B16" s="58" t="s">
        <v>1369</v>
      </c>
      <c r="C16" s="103" t="n">
        <v>900</v>
      </c>
      <c r="D16" s="130" t="n">
        <v>0</v>
      </c>
    </row>
    <row r="17" customFormat="false" ht="15" hidden="false" customHeight="false" outlineLevel="0" collapsed="false">
      <c r="A17" s="28" t="s">
        <v>359</v>
      </c>
      <c r="B17" s="58" t="s">
        <v>1369</v>
      </c>
      <c r="C17" s="103" t="n">
        <v>2100</v>
      </c>
      <c r="D17" s="130" t="n">
        <v>1</v>
      </c>
    </row>
    <row r="18" customFormat="false" ht="15" hidden="false" customHeight="false" outlineLevel="0" collapsed="false">
      <c r="A18" s="28" t="s">
        <v>360</v>
      </c>
      <c r="B18" s="58" t="s">
        <v>1369</v>
      </c>
      <c r="C18" s="103" t="n">
        <v>1900</v>
      </c>
      <c r="D18" s="130" t="n">
        <v>1</v>
      </c>
    </row>
    <row r="19" customFormat="false" ht="15" hidden="false" customHeight="false" outlineLevel="0" collapsed="false">
      <c r="A19" s="28" t="s">
        <v>361</v>
      </c>
      <c r="B19" s="58" t="s">
        <v>1369</v>
      </c>
      <c r="C19" s="103" t="n">
        <v>1150</v>
      </c>
      <c r="D19" s="130" t="n">
        <v>0</v>
      </c>
    </row>
    <row r="20" customFormat="false" ht="15" hidden="false" customHeight="false" outlineLevel="0" collapsed="false">
      <c r="A20" s="22" t="s">
        <v>1373</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row>
    <row r="21" customFormat="false" ht="15" hidden="false" customHeight="false" outlineLevel="0" collapsed="false">
      <c r="A21" s="28" t="s">
        <v>351</v>
      </c>
      <c r="B21" s="58" t="s">
        <v>1374</v>
      </c>
      <c r="C21" s="59" t="n">
        <f aca="false">SUM(E21:P21)</f>
        <v>112471</v>
      </c>
      <c r="D21" s="59" t="n">
        <f aca="false">SUM(Q21:AB21)</f>
        <v>116184</v>
      </c>
      <c r="E21" s="60" t="n">
        <f aca="false">IF(E$5="A",Inputs_Actuals!E157,Overheads!$C$9*Assumptions!E$106)</f>
        <v>9198</v>
      </c>
      <c r="F21" s="60" t="n">
        <f aca="false">IF(F$5="A",Inputs_Actuals!F157,Overheads!$C$9*Assumptions!F$106)</f>
        <v>10089</v>
      </c>
      <c r="G21" s="60" t="n">
        <f aca="false">IF(G$5="A",Inputs_Actuals!G157,Overheads!$C$9*Assumptions!G$106)</f>
        <v>10207</v>
      </c>
      <c r="H21" s="60" t="n">
        <f aca="false">IF(H$5="A",Inputs_Actuals!H157,Overheads!$C$9*Assumptions!H$106)</f>
        <v>9251</v>
      </c>
      <c r="I21" s="60" t="n">
        <f aca="false">IF(I$5="A",Inputs_Actuals!I157,Overheads!$C$9*Assumptions!I$106)</f>
        <v>8699</v>
      </c>
      <c r="J21" s="60" t="n">
        <f aca="false">IF(J$5="A",Inputs_Actuals!J157,Overheads!$C$9*Assumptions!J$106)</f>
        <v>9141</v>
      </c>
      <c r="K21" s="60" t="n">
        <f aca="false">IF(K$5="A",Inputs_Actuals!K157,Overheads!$C$9*Assumptions!K$106)</f>
        <v>9100</v>
      </c>
      <c r="L21" s="60" t="n">
        <f aca="false">IF(L$5="A",Inputs_Actuals!L157,Overheads!$C$9*Assumptions!L$106)</f>
        <v>9186</v>
      </c>
      <c r="M21" s="60" t="n">
        <f aca="false">IF(M$5="A",Inputs_Actuals!M157,Overheads!$C$9*Assumptions!M$106)</f>
        <v>9400</v>
      </c>
      <c r="N21" s="60" t="n">
        <f aca="false">IF(N$5="A",Inputs_Actuals!N157,Overheads!$C$9*Assumptions!N$106)</f>
        <v>9400</v>
      </c>
      <c r="O21" s="60" t="n">
        <f aca="false">IF(O$5="A",Inputs_Actuals!O157,Overheads!$C$9*Assumptions!O$106)</f>
        <v>9400</v>
      </c>
      <c r="P21" s="60" t="n">
        <f aca="false">IF(P$5="A",Inputs_Actuals!P157,Overheads!$C$9*Assumptions!P$106)</f>
        <v>9400</v>
      </c>
      <c r="Q21" s="60" t="n">
        <f aca="false">IF(Q$5="A",Inputs_Actuals!Q157,Overheads!$C$9*Assumptions!Q$106)</f>
        <v>9682</v>
      </c>
      <c r="R21" s="60" t="n">
        <f aca="false">IF(R$5="A",Inputs_Actuals!R157,Overheads!$C$9*Assumptions!R$106)</f>
        <v>9682</v>
      </c>
      <c r="S21" s="60" t="n">
        <f aca="false">IF(S$5="A",Inputs_Actuals!S157,Overheads!$C$9*Assumptions!S$106)</f>
        <v>9682</v>
      </c>
      <c r="T21" s="60" t="n">
        <f aca="false">IF(T$5="A",Inputs_Actuals!T157,Overheads!$C$9*Assumptions!T$106)</f>
        <v>9682</v>
      </c>
      <c r="U21" s="60" t="n">
        <f aca="false">IF(U$5="A",Inputs_Actuals!U157,Overheads!$C$9*Assumptions!U$106)</f>
        <v>9682</v>
      </c>
      <c r="V21" s="60" t="n">
        <f aca="false">IF(V$5="A",Inputs_Actuals!V157,Overheads!$C$9*Assumptions!V$106)</f>
        <v>9682</v>
      </c>
      <c r="W21" s="60" t="n">
        <f aca="false">IF(W$5="A",Inputs_Actuals!W157,Overheads!$C$9*Assumptions!W$106)</f>
        <v>9682</v>
      </c>
      <c r="X21" s="60" t="n">
        <f aca="false">IF(X$5="A",Inputs_Actuals!X157,Overheads!$C$9*Assumptions!X$106)</f>
        <v>9682</v>
      </c>
      <c r="Y21" s="60" t="n">
        <f aca="false">IF(Y$5="A",Inputs_Actuals!Y157,Overheads!$C$9*Assumptions!Y$106)</f>
        <v>9682</v>
      </c>
      <c r="Z21" s="60" t="n">
        <f aca="false">IF(Z$5="A",Inputs_Actuals!Z157,Overheads!$C$9*Assumptions!Z$106)</f>
        <v>9682</v>
      </c>
      <c r="AA21" s="60" t="n">
        <f aca="false">IF(AA$5="A",Inputs_Actuals!AA157,Overheads!$C$9*Assumptions!AA$106)</f>
        <v>9682</v>
      </c>
      <c r="AB21" s="60" t="n">
        <f aca="false">IF(AB$5="A",Inputs_Actuals!AB157,Overheads!$C$9*Assumptions!AB$106)</f>
        <v>9682</v>
      </c>
    </row>
    <row r="22" customFormat="false" ht="15" hidden="false" customHeight="false" outlineLevel="0" collapsed="false">
      <c r="A22" s="28" t="s">
        <v>352</v>
      </c>
      <c r="B22" s="58" t="s">
        <v>1374</v>
      </c>
      <c r="C22" s="59" t="n">
        <f aca="false">SUM(E22:P22)</f>
        <v>77410</v>
      </c>
      <c r="D22" s="59" t="n">
        <f aca="false">SUM(Q22:AB22)</f>
        <v>80340</v>
      </c>
      <c r="E22" s="60" t="n">
        <f aca="false">IF(E$5="A",Inputs_Actuals!E158,Overheads!$C$10*Assumptions!E$106)</f>
        <v>6492</v>
      </c>
      <c r="F22" s="60" t="n">
        <f aca="false">IF(F$5="A",Inputs_Actuals!F158,Overheads!$C$10*Assumptions!F$106)</f>
        <v>6219</v>
      </c>
      <c r="G22" s="60" t="n">
        <f aca="false">IF(G$5="A",Inputs_Actuals!G158,Overheads!$C$10*Assumptions!G$106)</f>
        <v>6515</v>
      </c>
      <c r="H22" s="60" t="n">
        <f aca="false">IF(H$5="A",Inputs_Actuals!H158,Overheads!$C$10*Assumptions!H$106)</f>
        <v>6180</v>
      </c>
      <c r="I22" s="60" t="n">
        <f aca="false">IF(I$5="A",Inputs_Actuals!I158,Overheads!$C$10*Assumptions!I$106)</f>
        <v>6716</v>
      </c>
      <c r="J22" s="60" t="n">
        <f aca="false">IF(J$5="A",Inputs_Actuals!J158,Overheads!$C$10*Assumptions!J$106)</f>
        <v>6127</v>
      </c>
      <c r="K22" s="60" t="n">
        <f aca="false">IF(K$5="A",Inputs_Actuals!K158,Overheads!$C$10*Assumptions!K$106)</f>
        <v>6748</v>
      </c>
      <c r="L22" s="60" t="n">
        <f aca="false">IF(L$5="A",Inputs_Actuals!L158,Overheads!$C$10*Assumptions!L$106)</f>
        <v>6413</v>
      </c>
      <c r="M22" s="60" t="n">
        <f aca="false">IF(M$5="A",Inputs_Actuals!M158,Overheads!$C$10*Assumptions!M$106)</f>
        <v>6500</v>
      </c>
      <c r="N22" s="60" t="n">
        <f aca="false">IF(N$5="A",Inputs_Actuals!N158,Overheads!$C$10*Assumptions!N$106)</f>
        <v>6500</v>
      </c>
      <c r="O22" s="60" t="n">
        <f aca="false">IF(O$5="A",Inputs_Actuals!O158,Overheads!$C$10*Assumptions!O$106)</f>
        <v>6500</v>
      </c>
      <c r="P22" s="60" t="n">
        <f aca="false">IF(P$5="A",Inputs_Actuals!P158,Overheads!$C$10*Assumptions!P$106)</f>
        <v>6500</v>
      </c>
      <c r="Q22" s="60" t="n">
        <f aca="false">IF(Q$5="A",Inputs_Actuals!Q158,Overheads!$C$10*Assumptions!Q$106)</f>
        <v>6695</v>
      </c>
      <c r="R22" s="60" t="n">
        <f aca="false">IF(R$5="A",Inputs_Actuals!R158,Overheads!$C$10*Assumptions!R$106)</f>
        <v>6695</v>
      </c>
      <c r="S22" s="60" t="n">
        <f aca="false">IF(S$5="A",Inputs_Actuals!S158,Overheads!$C$10*Assumptions!S$106)</f>
        <v>6695</v>
      </c>
      <c r="T22" s="60" t="n">
        <f aca="false">IF(T$5="A",Inputs_Actuals!T158,Overheads!$C$10*Assumptions!T$106)</f>
        <v>6695</v>
      </c>
      <c r="U22" s="60" t="n">
        <f aca="false">IF(U$5="A",Inputs_Actuals!U158,Overheads!$C$10*Assumptions!U$106)</f>
        <v>6695</v>
      </c>
      <c r="V22" s="60" t="n">
        <f aca="false">IF(V$5="A",Inputs_Actuals!V158,Overheads!$C$10*Assumptions!V$106)</f>
        <v>6695</v>
      </c>
      <c r="W22" s="60" t="n">
        <f aca="false">IF(W$5="A",Inputs_Actuals!W158,Overheads!$C$10*Assumptions!W$106)</f>
        <v>6695</v>
      </c>
      <c r="X22" s="60" t="n">
        <f aca="false">IF(X$5="A",Inputs_Actuals!X158,Overheads!$C$10*Assumptions!X$106)</f>
        <v>6695</v>
      </c>
      <c r="Y22" s="60" t="n">
        <f aca="false">IF(Y$5="A",Inputs_Actuals!Y158,Overheads!$C$10*Assumptions!Y$106)</f>
        <v>6695</v>
      </c>
      <c r="Z22" s="60" t="n">
        <f aca="false">IF(Z$5="A",Inputs_Actuals!Z158,Overheads!$C$10*Assumptions!Z$106)</f>
        <v>6695</v>
      </c>
      <c r="AA22" s="60" t="n">
        <f aca="false">IF(AA$5="A",Inputs_Actuals!AA158,Overheads!$C$10*Assumptions!AA$106)</f>
        <v>6695</v>
      </c>
      <c r="AB22" s="60" t="n">
        <f aca="false">IF(AB$5="A",Inputs_Actuals!AB158,Overheads!$C$10*Assumptions!AB$106)</f>
        <v>6695</v>
      </c>
    </row>
    <row r="23" customFormat="false" ht="15" hidden="false" customHeight="false" outlineLevel="0" collapsed="false">
      <c r="A23" s="28" t="s">
        <v>353</v>
      </c>
      <c r="B23" s="58" t="s">
        <v>1375</v>
      </c>
      <c r="C23" s="59" t="n">
        <f aca="false">SUM(E23:P23)</f>
        <v>60057</v>
      </c>
      <c r="D23" s="59" t="n">
        <f aca="false">SUM(Q23:AB23)</f>
        <v>63036</v>
      </c>
      <c r="E23" s="60" t="n">
        <f aca="false">IF(E$5="A",Inputs_Actuals!E159,Overheads!$C$11*Assumptions!E$106*Assumptions!$F$130)</f>
        <v>3394</v>
      </c>
      <c r="F23" s="60" t="n">
        <f aca="false">IF(F$5="A",Inputs_Actuals!F159,Overheads!$C$11*Assumptions!F$106*Assumptions!$F$130)</f>
        <v>6861</v>
      </c>
      <c r="G23" s="60" t="n">
        <f aca="false">IF(G$5="A",Inputs_Actuals!G159,Overheads!$C$11*Assumptions!G$106*Assumptions!$F$130)</f>
        <v>6969</v>
      </c>
      <c r="H23" s="60" t="n">
        <f aca="false">IF(H$5="A",Inputs_Actuals!H159,Overheads!$C$11*Assumptions!H$106*Assumptions!$F$130)</f>
        <v>6196</v>
      </c>
      <c r="I23" s="60" t="n">
        <f aca="false">IF(I$5="A",Inputs_Actuals!I159,Overheads!$C$11*Assumptions!I$106*Assumptions!$F$130)</f>
        <v>6591</v>
      </c>
      <c r="J23" s="60" t="n">
        <f aca="false">IF(J$5="A",Inputs_Actuals!J159,Overheads!$C$11*Assumptions!J$106*Assumptions!$F$130)</f>
        <v>4368</v>
      </c>
      <c r="K23" s="60" t="n">
        <f aca="false">IF(K$5="A",Inputs_Actuals!K159,Overheads!$C$11*Assumptions!K$106*Assumptions!$F$130)</f>
        <v>2245</v>
      </c>
      <c r="L23" s="60" t="n">
        <f aca="false">IF(L$5="A",Inputs_Actuals!L159,Overheads!$C$11*Assumptions!L$106*Assumptions!$F$130)</f>
        <v>3033</v>
      </c>
      <c r="M23" s="60" t="n">
        <f aca="false">IF(M$5="A",Inputs_Actuals!M159,Overheads!$C$11*Assumptions!M$106*Assumptions!$F$130)</f>
        <v>5100</v>
      </c>
      <c r="N23" s="60" t="n">
        <f aca="false">IF(N$5="A",Inputs_Actuals!N159,Overheads!$C$11*Assumptions!N$106*Assumptions!$F$130)</f>
        <v>5100</v>
      </c>
      <c r="O23" s="60" t="n">
        <f aca="false">IF(O$5="A",Inputs_Actuals!O159,Overheads!$C$11*Assumptions!O$106*Assumptions!$F$130)</f>
        <v>5100</v>
      </c>
      <c r="P23" s="60" t="n">
        <f aca="false">IF(P$5="A",Inputs_Actuals!P159,Overheads!$C$11*Assumptions!P$106*Assumptions!$F$130)</f>
        <v>5100</v>
      </c>
      <c r="Q23" s="60" t="n">
        <f aca="false">IF(Q$5="A",Inputs_Actuals!Q159,Overheads!$C$11*Assumptions!Q$106*Assumptions!$F$130)</f>
        <v>5253</v>
      </c>
      <c r="R23" s="60" t="n">
        <f aca="false">IF(R$5="A",Inputs_Actuals!R159,Overheads!$C$11*Assumptions!R$106*Assumptions!$F$130)</f>
        <v>5253</v>
      </c>
      <c r="S23" s="60" t="n">
        <f aca="false">IF(S$5="A",Inputs_Actuals!S159,Overheads!$C$11*Assumptions!S$106*Assumptions!$F$130)</f>
        <v>5253</v>
      </c>
      <c r="T23" s="60" t="n">
        <f aca="false">IF(T$5="A",Inputs_Actuals!T159,Overheads!$C$11*Assumptions!T$106*Assumptions!$F$130)</f>
        <v>5253</v>
      </c>
      <c r="U23" s="60" t="n">
        <f aca="false">IF(U$5="A",Inputs_Actuals!U159,Overheads!$C$11*Assumptions!U$106*Assumptions!$F$130)</f>
        <v>5253</v>
      </c>
      <c r="V23" s="60" t="n">
        <f aca="false">IF(V$5="A",Inputs_Actuals!V159,Overheads!$C$11*Assumptions!V$106*Assumptions!$F$130)</f>
        <v>5253</v>
      </c>
      <c r="W23" s="60" t="n">
        <f aca="false">IF(W$5="A",Inputs_Actuals!W159,Overheads!$C$11*Assumptions!W$106*Assumptions!$F$130)</f>
        <v>5253</v>
      </c>
      <c r="X23" s="60" t="n">
        <f aca="false">IF(X$5="A",Inputs_Actuals!X159,Overheads!$C$11*Assumptions!X$106*Assumptions!$F$130)</f>
        <v>5253</v>
      </c>
      <c r="Y23" s="60" t="n">
        <f aca="false">IF(Y$5="A",Inputs_Actuals!Y159,Overheads!$C$11*Assumptions!Y$106*Assumptions!$F$130)</f>
        <v>5253</v>
      </c>
      <c r="Z23" s="60" t="n">
        <f aca="false">IF(Z$5="A",Inputs_Actuals!Z159,Overheads!$C$11*Assumptions!Z$106*Assumptions!$F$130)</f>
        <v>5253</v>
      </c>
      <c r="AA23" s="60" t="n">
        <f aca="false">IF(AA$5="A",Inputs_Actuals!AA159,Overheads!$C$11*Assumptions!AA$106*Assumptions!$F$130)</f>
        <v>5253</v>
      </c>
      <c r="AB23" s="60" t="n">
        <f aca="false">IF(AB$5="A",Inputs_Actuals!AB159,Overheads!$C$11*Assumptions!AB$106*Assumptions!$F$130)</f>
        <v>5253</v>
      </c>
    </row>
    <row r="24" customFormat="false" ht="15" hidden="false" customHeight="false" outlineLevel="0" collapsed="false">
      <c r="A24" s="28" t="s">
        <v>354</v>
      </c>
      <c r="B24" s="58" t="s">
        <v>1375</v>
      </c>
      <c r="C24" s="59" t="n">
        <f aca="false">SUM(E24:P24)</f>
        <v>45698</v>
      </c>
      <c r="D24" s="59" t="n">
        <f aca="false">SUM(Q24:AB24)</f>
        <v>45732</v>
      </c>
      <c r="E24" s="60" t="n">
        <f aca="false">IF(E$5="A",Inputs_Actuals!E160,Overheads!$C$12*Assumptions!E$106*Assumptions!$F$130)</f>
        <v>2068</v>
      </c>
      <c r="F24" s="60" t="n">
        <f aca="false">IF(F$5="A",Inputs_Actuals!F160,Overheads!$C$12*Assumptions!F$106*Assumptions!$F$130)</f>
        <v>3304</v>
      </c>
      <c r="G24" s="60" t="n">
        <f aca="false">IF(G$5="A",Inputs_Actuals!G160,Overheads!$C$12*Assumptions!G$106*Assumptions!$F$130)</f>
        <v>3646</v>
      </c>
      <c r="H24" s="60" t="n">
        <f aca="false">IF(H$5="A",Inputs_Actuals!H160,Overheads!$C$12*Assumptions!H$106*Assumptions!$F$130)</f>
        <v>4548</v>
      </c>
      <c r="I24" s="60" t="n">
        <f aca="false">IF(I$5="A",Inputs_Actuals!I160,Overheads!$C$12*Assumptions!I$106*Assumptions!$F$130)</f>
        <v>9013</v>
      </c>
      <c r="J24" s="60" t="n">
        <f aca="false">IF(J$5="A",Inputs_Actuals!J160,Overheads!$C$12*Assumptions!J$106*Assumptions!$F$130)</f>
        <v>4228</v>
      </c>
      <c r="K24" s="60" t="n">
        <f aca="false">IF(K$5="A",Inputs_Actuals!K160,Overheads!$C$12*Assumptions!K$106*Assumptions!$F$130)</f>
        <v>1510</v>
      </c>
      <c r="L24" s="60" t="n">
        <f aca="false">IF(L$5="A",Inputs_Actuals!L160,Overheads!$C$12*Assumptions!L$106*Assumptions!$F$130)</f>
        <v>2581</v>
      </c>
      <c r="M24" s="60" t="n">
        <f aca="false">IF(M$5="A",Inputs_Actuals!M160,Overheads!$C$12*Assumptions!M$106*Assumptions!$F$130)</f>
        <v>3700</v>
      </c>
      <c r="N24" s="60" t="n">
        <f aca="false">IF(N$5="A",Inputs_Actuals!N160,Overheads!$C$12*Assumptions!N$106*Assumptions!$F$130)</f>
        <v>3700</v>
      </c>
      <c r="O24" s="60" t="n">
        <f aca="false">IF(O$5="A",Inputs_Actuals!O160,Overheads!$C$12*Assumptions!O$106*Assumptions!$F$130)</f>
        <v>3700</v>
      </c>
      <c r="P24" s="60" t="n">
        <f aca="false">IF(P$5="A",Inputs_Actuals!P160,Overheads!$C$12*Assumptions!P$106*Assumptions!$F$130)</f>
        <v>3700</v>
      </c>
      <c r="Q24" s="60" t="n">
        <f aca="false">IF(Q$5="A",Inputs_Actuals!Q160,Overheads!$C$12*Assumptions!Q$106*Assumptions!$F$130)</f>
        <v>3811</v>
      </c>
      <c r="R24" s="60" t="n">
        <f aca="false">IF(R$5="A",Inputs_Actuals!R160,Overheads!$C$12*Assumptions!R$106*Assumptions!$F$130)</f>
        <v>3811</v>
      </c>
      <c r="S24" s="60" t="n">
        <f aca="false">IF(S$5="A",Inputs_Actuals!S160,Overheads!$C$12*Assumptions!S$106*Assumptions!$F$130)</f>
        <v>3811</v>
      </c>
      <c r="T24" s="60" t="n">
        <f aca="false">IF(T$5="A",Inputs_Actuals!T160,Overheads!$C$12*Assumptions!T$106*Assumptions!$F$130)</f>
        <v>3811</v>
      </c>
      <c r="U24" s="60" t="n">
        <f aca="false">IF(U$5="A",Inputs_Actuals!U160,Overheads!$C$12*Assumptions!U$106*Assumptions!$F$130)</f>
        <v>3811</v>
      </c>
      <c r="V24" s="60" t="n">
        <f aca="false">IF(V$5="A",Inputs_Actuals!V160,Overheads!$C$12*Assumptions!V$106*Assumptions!$F$130)</f>
        <v>3811</v>
      </c>
      <c r="W24" s="60" t="n">
        <f aca="false">IF(W$5="A",Inputs_Actuals!W160,Overheads!$C$12*Assumptions!W$106*Assumptions!$F$130)</f>
        <v>3811</v>
      </c>
      <c r="X24" s="60" t="n">
        <f aca="false">IF(X$5="A",Inputs_Actuals!X160,Overheads!$C$12*Assumptions!X$106*Assumptions!$F$130)</f>
        <v>3811</v>
      </c>
      <c r="Y24" s="60" t="n">
        <f aca="false">IF(Y$5="A",Inputs_Actuals!Y160,Overheads!$C$12*Assumptions!Y$106*Assumptions!$F$130)</f>
        <v>3811</v>
      </c>
      <c r="Z24" s="60" t="n">
        <f aca="false">IF(Z$5="A",Inputs_Actuals!Z160,Overheads!$C$12*Assumptions!Z$106*Assumptions!$F$130)</f>
        <v>3811</v>
      </c>
      <c r="AA24" s="60" t="n">
        <f aca="false">IF(AA$5="A",Inputs_Actuals!AA160,Overheads!$C$12*Assumptions!AA$106*Assumptions!$F$130)</f>
        <v>3811</v>
      </c>
      <c r="AB24" s="60" t="n">
        <f aca="false">IF(AB$5="A",Inputs_Actuals!AB160,Overheads!$C$12*Assumptions!AB$106*Assumptions!$F$130)</f>
        <v>3811</v>
      </c>
    </row>
    <row r="25" customFormat="false" ht="15" hidden="false" customHeight="false" outlineLevel="0" collapsed="false">
      <c r="A25" s="28" t="s">
        <v>355</v>
      </c>
      <c r="B25" s="58" t="s">
        <v>1374</v>
      </c>
      <c r="C25" s="59" t="n">
        <f aca="false">SUM(E25:P25)</f>
        <v>27600</v>
      </c>
      <c r="D25" s="59" t="n">
        <f aca="false">SUM(Q25:AB25)</f>
        <v>18213</v>
      </c>
      <c r="E25" s="60" t="n">
        <f aca="false">IF(E$5="A",Inputs_Actuals!E161,Overheads!$C$13*Assumptions!E$106+(Utilisation!E21+People!E25)*Assumptions!$C$62)</f>
        <v>800</v>
      </c>
      <c r="F25" s="60" t="n">
        <f aca="false">IF(F$5="A",Inputs_Actuals!F161,Overheads!$C$13*Assumptions!F$106+(Utilisation!F21+People!F25)*Assumptions!$C$62)</f>
        <v>800</v>
      </c>
      <c r="G25" s="60" t="n">
        <f aca="false">IF(G$5="A",Inputs_Actuals!G161,Overheads!$C$13*Assumptions!G$106+(Utilisation!G21+People!G25)*Assumptions!$C$62)</f>
        <v>5300</v>
      </c>
      <c r="H25" s="60" t="n">
        <f aca="false">IF(H$5="A",Inputs_Actuals!H161,Overheads!$C$13*Assumptions!H$106+(Utilisation!H21+People!H25)*Assumptions!$C$62)</f>
        <v>800</v>
      </c>
      <c r="I25" s="60" t="n">
        <f aca="false">IF(I$5="A",Inputs_Actuals!I161,Overheads!$C$13*Assumptions!I$106+(Utilisation!I21+People!I25)*Assumptions!$C$62)</f>
        <v>800</v>
      </c>
      <c r="J25" s="60" t="n">
        <f aca="false">IF(J$5="A",Inputs_Actuals!J161,Overheads!$C$13*Assumptions!J$106+(Utilisation!J21+People!J25)*Assumptions!$C$62)</f>
        <v>800</v>
      </c>
      <c r="K25" s="60" t="n">
        <f aca="false">IF(K$5="A",Inputs_Actuals!K161,Overheads!$C$13*Assumptions!K$106+(Utilisation!K21+People!K25)*Assumptions!$C$62)</f>
        <v>5300</v>
      </c>
      <c r="L25" s="60" t="n">
        <f aca="false">IF(L$5="A",Inputs_Actuals!L161,Overheads!$C$13*Assumptions!L$106+(Utilisation!L21+People!L25)*Assumptions!$C$62)</f>
        <v>800</v>
      </c>
      <c r="M25" s="60" t="n">
        <f aca="false">IF(M$5="A",Inputs_Actuals!M161,Overheads!$C$13*Assumptions!M$106+(Utilisation!M21+People!M25)*Assumptions!$C$62)</f>
        <v>800</v>
      </c>
      <c r="N25" s="60" t="n">
        <f aca="false">IF(N$5="A",Inputs_Actuals!N161,Overheads!$C$13*Assumptions!N$106+(Utilisation!N21+People!N25)*Assumptions!$C$62)</f>
        <v>5300</v>
      </c>
      <c r="O25" s="60" t="n">
        <f aca="false">IF(O$5="A",Inputs_Actuals!O161,Overheads!$C$13*Assumptions!O$106+(Utilisation!O21+People!O25)*Assumptions!$C$62)</f>
        <v>5300</v>
      </c>
      <c r="P25" s="60" t="n">
        <f aca="false">IF(P$5="A",Inputs_Actuals!P161,Overheads!$C$13*Assumptions!P$106+(Utilisation!P21+People!P25)*Assumptions!$C$62)</f>
        <v>800</v>
      </c>
      <c r="Q25" s="60" t="n">
        <f aca="false">IF(Q$5="A",Inputs_Actuals!Q161,Overheads!$C$13*Assumptions!Q$106+(Utilisation!Q21+People!Q25)*Assumptions!$C$62)</f>
        <v>2849</v>
      </c>
      <c r="R25" s="60" t="n">
        <f aca="false">IF(R$5="A",Inputs_Actuals!R161,Overheads!$C$13*Assumptions!R$106+(Utilisation!R21+People!R25)*Assumptions!$C$62)</f>
        <v>824</v>
      </c>
      <c r="S25" s="60" t="n">
        <f aca="false">IF(S$5="A",Inputs_Actuals!S161,Overheads!$C$13*Assumptions!S$106+(Utilisation!S21+People!S25)*Assumptions!$C$62)</f>
        <v>2624</v>
      </c>
      <c r="T25" s="60" t="n">
        <f aca="false">IF(T$5="A",Inputs_Actuals!T161,Overheads!$C$13*Assumptions!T$106+(Utilisation!T21+People!T25)*Assumptions!$C$62)</f>
        <v>5324</v>
      </c>
      <c r="U25" s="60" t="n">
        <f aca="false">IF(U$5="A",Inputs_Actuals!U161,Overheads!$C$13*Assumptions!U$106+(Utilisation!U21+People!U25)*Assumptions!$C$62)</f>
        <v>824</v>
      </c>
      <c r="V25" s="60" t="n">
        <f aca="false">IF(V$5="A",Inputs_Actuals!V161,Overheads!$C$13*Assumptions!V$106+(Utilisation!V21+People!V25)*Assumptions!$C$62)</f>
        <v>824</v>
      </c>
      <c r="W25" s="60" t="n">
        <f aca="false">IF(W$5="A",Inputs_Actuals!W161,Overheads!$C$13*Assumptions!W$106+(Utilisation!W21+People!W25)*Assumptions!$C$62)</f>
        <v>824</v>
      </c>
      <c r="X25" s="60" t="n">
        <f aca="false">IF(X$5="A",Inputs_Actuals!X161,Overheads!$C$13*Assumptions!X$106+(Utilisation!X21+People!X25)*Assumptions!$C$62)</f>
        <v>824</v>
      </c>
      <c r="Y25" s="60" t="n">
        <f aca="false">IF(Y$5="A",Inputs_Actuals!Y161,Overheads!$C$13*Assumptions!Y$106+(Utilisation!Y21+People!Y25)*Assumptions!$C$62)</f>
        <v>824</v>
      </c>
      <c r="Z25" s="60" t="n">
        <f aca="false">IF(Z$5="A",Inputs_Actuals!Z161,Overheads!$C$13*Assumptions!Z$106+(Utilisation!Z21+People!Z25)*Assumptions!$C$62)</f>
        <v>824</v>
      </c>
      <c r="AA25" s="60" t="n">
        <f aca="false">IF(AA$5="A",Inputs_Actuals!AA161,Overheads!$C$13*Assumptions!AA$106+(Utilisation!AA21+People!AA25)*Assumptions!$C$62)</f>
        <v>824</v>
      </c>
      <c r="AB25" s="60" t="n">
        <f aca="false">IF(AB$5="A",Inputs_Actuals!AB161,Overheads!$C$13*Assumptions!AB$106+(Utilisation!AB21+People!AB25)*Assumptions!$C$62)</f>
        <v>824</v>
      </c>
    </row>
    <row r="26" customFormat="false" ht="15" hidden="false" customHeight="false" outlineLevel="0" collapsed="false">
      <c r="A26" s="28" t="s">
        <v>356</v>
      </c>
      <c r="B26" s="58" t="s">
        <v>1375</v>
      </c>
      <c r="C26" s="59" t="n">
        <f aca="false">SUM(E26:P26)</f>
        <v>26574</v>
      </c>
      <c r="D26" s="59" t="n">
        <f aca="false">SUM(Q26:AB26)</f>
        <v>27192</v>
      </c>
      <c r="E26" s="60" t="n">
        <f aca="false">IF(E$5="A",Inputs_Actuals!E162,Overheads!$C$14*Assumptions!E$106*Assumptions!$F$130)</f>
        <v>2451</v>
      </c>
      <c r="F26" s="60" t="n">
        <f aca="false">IF(F$5="A",Inputs_Actuals!F162,Overheads!$C$14*Assumptions!F$106*Assumptions!$F$130)</f>
        <v>2109</v>
      </c>
      <c r="G26" s="60" t="n">
        <f aca="false">IF(G$5="A",Inputs_Actuals!G162,Overheads!$C$14*Assumptions!G$106*Assumptions!$F$130)</f>
        <v>1927</v>
      </c>
      <c r="H26" s="60" t="n">
        <f aca="false">IF(H$5="A",Inputs_Actuals!H162,Overheads!$C$14*Assumptions!H$106*Assumptions!$F$130)</f>
        <v>2264</v>
      </c>
      <c r="I26" s="60" t="n">
        <f aca="false">IF(I$5="A",Inputs_Actuals!I162,Overheads!$C$14*Assumptions!I$106*Assumptions!$F$130)</f>
        <v>2331</v>
      </c>
      <c r="J26" s="60" t="n">
        <f aca="false">IF(J$5="A",Inputs_Actuals!J162,Overheads!$C$14*Assumptions!J$106*Assumptions!$F$130)</f>
        <v>2140</v>
      </c>
      <c r="K26" s="60" t="n">
        <f aca="false">IF(K$5="A",Inputs_Actuals!K162,Overheads!$C$14*Assumptions!K$106*Assumptions!$F$130)</f>
        <v>2328</v>
      </c>
      <c r="L26" s="60" t="n">
        <f aca="false">IF(L$5="A",Inputs_Actuals!L162,Overheads!$C$14*Assumptions!L$106*Assumptions!$F$130)</f>
        <v>2224</v>
      </c>
      <c r="M26" s="60" t="n">
        <f aca="false">IF(M$5="A",Inputs_Actuals!M162,Overheads!$C$14*Assumptions!M$106*Assumptions!$F$130)</f>
        <v>2200</v>
      </c>
      <c r="N26" s="60" t="n">
        <f aca="false">IF(N$5="A",Inputs_Actuals!N162,Overheads!$C$14*Assumptions!N$106*Assumptions!$F$130)</f>
        <v>2200</v>
      </c>
      <c r="O26" s="60" t="n">
        <f aca="false">IF(O$5="A",Inputs_Actuals!O162,Overheads!$C$14*Assumptions!O$106*Assumptions!$F$130)</f>
        <v>2200</v>
      </c>
      <c r="P26" s="60" t="n">
        <f aca="false">IF(P$5="A",Inputs_Actuals!P162,Overheads!$C$14*Assumptions!P$106*Assumptions!$F$130)</f>
        <v>2200</v>
      </c>
      <c r="Q26" s="60" t="n">
        <f aca="false">IF(Q$5="A",Inputs_Actuals!Q162,Overheads!$C$14*Assumptions!Q$106*Assumptions!$F$130)</f>
        <v>2266</v>
      </c>
      <c r="R26" s="60" t="n">
        <f aca="false">IF(R$5="A",Inputs_Actuals!R162,Overheads!$C$14*Assumptions!R$106*Assumptions!$F$130)</f>
        <v>2266</v>
      </c>
      <c r="S26" s="60" t="n">
        <f aca="false">IF(S$5="A",Inputs_Actuals!S162,Overheads!$C$14*Assumptions!S$106*Assumptions!$F$130)</f>
        <v>2266</v>
      </c>
      <c r="T26" s="60" t="n">
        <f aca="false">IF(T$5="A",Inputs_Actuals!T162,Overheads!$C$14*Assumptions!T$106*Assumptions!$F$130)</f>
        <v>2266</v>
      </c>
      <c r="U26" s="60" t="n">
        <f aca="false">IF(U$5="A",Inputs_Actuals!U162,Overheads!$C$14*Assumptions!U$106*Assumptions!$F$130)</f>
        <v>2266</v>
      </c>
      <c r="V26" s="60" t="n">
        <f aca="false">IF(V$5="A",Inputs_Actuals!V162,Overheads!$C$14*Assumptions!V$106*Assumptions!$F$130)</f>
        <v>2266</v>
      </c>
      <c r="W26" s="60" t="n">
        <f aca="false">IF(W$5="A",Inputs_Actuals!W162,Overheads!$C$14*Assumptions!W$106*Assumptions!$F$130)</f>
        <v>2266</v>
      </c>
      <c r="X26" s="60" t="n">
        <f aca="false">IF(X$5="A",Inputs_Actuals!X162,Overheads!$C$14*Assumptions!X$106*Assumptions!$F$130)</f>
        <v>2266</v>
      </c>
      <c r="Y26" s="60" t="n">
        <f aca="false">IF(Y$5="A",Inputs_Actuals!Y162,Overheads!$C$14*Assumptions!Y$106*Assumptions!$F$130)</f>
        <v>2266</v>
      </c>
      <c r="Z26" s="60" t="n">
        <f aca="false">IF(Z$5="A",Inputs_Actuals!Z162,Overheads!$C$14*Assumptions!Z$106*Assumptions!$F$130)</f>
        <v>2266</v>
      </c>
      <c r="AA26" s="60" t="n">
        <f aca="false">IF(AA$5="A",Inputs_Actuals!AA162,Overheads!$C$14*Assumptions!AA$106*Assumptions!$F$130)</f>
        <v>2266</v>
      </c>
      <c r="AB26" s="60" t="n">
        <f aca="false">IF(AB$5="A",Inputs_Actuals!AB162,Overheads!$C$14*Assumptions!AB$106*Assumptions!$F$130)</f>
        <v>2266</v>
      </c>
    </row>
    <row r="27" customFormat="false" ht="15" hidden="false" customHeight="false" outlineLevel="0" collapsed="false">
      <c r="A27" s="28" t="s">
        <v>357</v>
      </c>
      <c r="B27" s="58" t="s">
        <v>1374</v>
      </c>
      <c r="C27" s="59" t="n">
        <f aca="false">SUM(E27:P27)</f>
        <v>31527</v>
      </c>
      <c r="D27" s="59" t="n">
        <f aca="false">SUM(Q27:AB27)</f>
        <v>32136</v>
      </c>
      <c r="E27" s="60" t="n">
        <f aca="false">IF(E$5="A",Inputs_Actuals!E163,Overheads!$C$15*Assumptions!E$106)</f>
        <v>2542</v>
      </c>
      <c r="F27" s="60" t="n">
        <f aca="false">IF(F$5="A",Inputs_Actuals!F163,Overheads!$C$15*Assumptions!F$106)</f>
        <v>2755</v>
      </c>
      <c r="G27" s="60" t="n">
        <f aca="false">IF(G$5="A",Inputs_Actuals!G163,Overheads!$C$15*Assumptions!G$106)</f>
        <v>2762</v>
      </c>
      <c r="H27" s="60" t="n">
        <f aca="false">IF(H$5="A",Inputs_Actuals!H163,Overheads!$C$15*Assumptions!H$106)</f>
        <v>2741</v>
      </c>
      <c r="I27" s="60" t="n">
        <f aca="false">IF(I$5="A",Inputs_Actuals!I163,Overheads!$C$15*Assumptions!I$106)</f>
        <v>2746</v>
      </c>
      <c r="J27" s="60" t="n">
        <f aca="false">IF(J$5="A",Inputs_Actuals!J163,Overheads!$C$15*Assumptions!J$106)</f>
        <v>2612</v>
      </c>
      <c r="K27" s="60" t="n">
        <f aca="false">IF(K$5="A",Inputs_Actuals!K163,Overheads!$C$15*Assumptions!K$106)</f>
        <v>2401</v>
      </c>
      <c r="L27" s="60" t="n">
        <f aca="false">IF(L$5="A",Inputs_Actuals!L163,Overheads!$C$15*Assumptions!L$106)</f>
        <v>2568</v>
      </c>
      <c r="M27" s="60" t="n">
        <f aca="false">IF(M$5="A",Inputs_Actuals!M163,Overheads!$C$15*Assumptions!M$106)</f>
        <v>2600</v>
      </c>
      <c r="N27" s="60" t="n">
        <f aca="false">IF(N$5="A",Inputs_Actuals!N163,Overheads!$C$15*Assumptions!N$106)</f>
        <v>2600</v>
      </c>
      <c r="O27" s="60" t="n">
        <f aca="false">IF(O$5="A",Inputs_Actuals!O163,Overheads!$C$15*Assumptions!O$106)</f>
        <v>2600</v>
      </c>
      <c r="P27" s="60" t="n">
        <f aca="false">IF(P$5="A",Inputs_Actuals!P163,Overheads!$C$15*Assumptions!P$106)</f>
        <v>2600</v>
      </c>
      <c r="Q27" s="60" t="n">
        <f aca="false">IF(Q$5="A",Inputs_Actuals!Q163,Overheads!$C$15*Assumptions!Q$106)</f>
        <v>2678</v>
      </c>
      <c r="R27" s="60" t="n">
        <f aca="false">IF(R$5="A",Inputs_Actuals!R163,Overheads!$C$15*Assumptions!R$106)</f>
        <v>2678</v>
      </c>
      <c r="S27" s="60" t="n">
        <f aca="false">IF(S$5="A",Inputs_Actuals!S163,Overheads!$C$15*Assumptions!S$106)</f>
        <v>2678</v>
      </c>
      <c r="T27" s="60" t="n">
        <f aca="false">IF(T$5="A",Inputs_Actuals!T163,Overheads!$C$15*Assumptions!T$106)</f>
        <v>2678</v>
      </c>
      <c r="U27" s="60" t="n">
        <f aca="false">IF(U$5="A",Inputs_Actuals!U163,Overheads!$C$15*Assumptions!U$106)</f>
        <v>2678</v>
      </c>
      <c r="V27" s="60" t="n">
        <f aca="false">IF(V$5="A",Inputs_Actuals!V163,Overheads!$C$15*Assumptions!V$106)</f>
        <v>2678</v>
      </c>
      <c r="W27" s="60" t="n">
        <f aca="false">IF(W$5="A",Inputs_Actuals!W163,Overheads!$C$15*Assumptions!W$106)</f>
        <v>2678</v>
      </c>
      <c r="X27" s="60" t="n">
        <f aca="false">IF(X$5="A",Inputs_Actuals!X163,Overheads!$C$15*Assumptions!X$106)</f>
        <v>2678</v>
      </c>
      <c r="Y27" s="60" t="n">
        <f aca="false">IF(Y$5="A",Inputs_Actuals!Y163,Overheads!$C$15*Assumptions!Y$106)</f>
        <v>2678</v>
      </c>
      <c r="Z27" s="60" t="n">
        <f aca="false">IF(Z$5="A",Inputs_Actuals!Z163,Overheads!$C$15*Assumptions!Z$106)</f>
        <v>2678</v>
      </c>
      <c r="AA27" s="60" t="n">
        <f aca="false">IF(AA$5="A",Inputs_Actuals!AA163,Overheads!$C$15*Assumptions!AA$106)</f>
        <v>2678</v>
      </c>
      <c r="AB27" s="60" t="n">
        <f aca="false">IF(AB$5="A",Inputs_Actuals!AB163,Overheads!$C$15*Assumptions!AB$106)</f>
        <v>2678</v>
      </c>
    </row>
    <row r="28" customFormat="false" ht="15" hidden="false" customHeight="false" outlineLevel="0" collapsed="false">
      <c r="A28" s="28" t="s">
        <v>358</v>
      </c>
      <c r="B28" s="58" t="s">
        <v>1374</v>
      </c>
      <c r="C28" s="59" t="n">
        <f aca="false">SUM(E28:P28)</f>
        <v>10528</v>
      </c>
      <c r="D28" s="59" t="n">
        <f aca="false">SUM(Q28:AB28)</f>
        <v>11124</v>
      </c>
      <c r="E28" s="60" t="n">
        <f aca="false">IF(E$5="A",Inputs_Actuals!E164,Overheads!$C$16*Assumptions!E$106)</f>
        <v>892</v>
      </c>
      <c r="F28" s="60" t="n">
        <f aca="false">IF(F$5="A",Inputs_Actuals!F164,Overheads!$C$16*Assumptions!F$106)</f>
        <v>811</v>
      </c>
      <c r="G28" s="60" t="n">
        <f aca="false">IF(G$5="A",Inputs_Actuals!G164,Overheads!$C$16*Assumptions!G$106)</f>
        <v>940</v>
      </c>
      <c r="H28" s="60" t="n">
        <f aca="false">IF(H$5="A",Inputs_Actuals!H164,Overheads!$C$16*Assumptions!H$106)</f>
        <v>894</v>
      </c>
      <c r="I28" s="60" t="n">
        <f aca="false">IF(I$5="A",Inputs_Actuals!I164,Overheads!$C$16*Assumptions!I$106)</f>
        <v>821</v>
      </c>
      <c r="J28" s="60" t="n">
        <f aca="false">IF(J$5="A",Inputs_Actuals!J164,Overheads!$C$16*Assumptions!J$106)</f>
        <v>944</v>
      </c>
      <c r="K28" s="60" t="n">
        <f aca="false">IF(K$5="A",Inputs_Actuals!K164,Overheads!$C$16*Assumptions!K$106)</f>
        <v>798</v>
      </c>
      <c r="L28" s="60" t="n">
        <f aca="false">IF(L$5="A",Inputs_Actuals!L164,Overheads!$C$16*Assumptions!L$106)</f>
        <v>828</v>
      </c>
      <c r="M28" s="60" t="n">
        <f aca="false">IF(M$5="A",Inputs_Actuals!M164,Overheads!$C$16*Assumptions!M$106)</f>
        <v>900</v>
      </c>
      <c r="N28" s="60" t="n">
        <f aca="false">IF(N$5="A",Inputs_Actuals!N164,Overheads!$C$16*Assumptions!N$106)</f>
        <v>900</v>
      </c>
      <c r="O28" s="60" t="n">
        <f aca="false">IF(O$5="A",Inputs_Actuals!O164,Overheads!$C$16*Assumptions!O$106)</f>
        <v>900</v>
      </c>
      <c r="P28" s="60" t="n">
        <f aca="false">IF(P$5="A",Inputs_Actuals!P164,Overheads!$C$16*Assumptions!P$106)</f>
        <v>900</v>
      </c>
      <c r="Q28" s="60" t="n">
        <f aca="false">IF(Q$5="A",Inputs_Actuals!Q164,Overheads!$C$16*Assumptions!Q$106)</f>
        <v>927</v>
      </c>
      <c r="R28" s="60" t="n">
        <f aca="false">IF(R$5="A",Inputs_Actuals!R164,Overheads!$C$16*Assumptions!R$106)</f>
        <v>927</v>
      </c>
      <c r="S28" s="60" t="n">
        <f aca="false">IF(S$5="A",Inputs_Actuals!S164,Overheads!$C$16*Assumptions!S$106)</f>
        <v>927</v>
      </c>
      <c r="T28" s="60" t="n">
        <f aca="false">IF(T$5="A",Inputs_Actuals!T164,Overheads!$C$16*Assumptions!T$106)</f>
        <v>927</v>
      </c>
      <c r="U28" s="60" t="n">
        <f aca="false">IF(U$5="A",Inputs_Actuals!U164,Overheads!$C$16*Assumptions!U$106)</f>
        <v>927</v>
      </c>
      <c r="V28" s="60" t="n">
        <f aca="false">IF(V$5="A",Inputs_Actuals!V164,Overheads!$C$16*Assumptions!V$106)</f>
        <v>927</v>
      </c>
      <c r="W28" s="60" t="n">
        <f aca="false">IF(W$5="A",Inputs_Actuals!W164,Overheads!$C$16*Assumptions!W$106)</f>
        <v>927</v>
      </c>
      <c r="X28" s="60" t="n">
        <f aca="false">IF(X$5="A",Inputs_Actuals!X164,Overheads!$C$16*Assumptions!X$106)</f>
        <v>927</v>
      </c>
      <c r="Y28" s="60" t="n">
        <f aca="false">IF(Y$5="A",Inputs_Actuals!Y164,Overheads!$C$16*Assumptions!Y$106)</f>
        <v>927</v>
      </c>
      <c r="Z28" s="60" t="n">
        <f aca="false">IF(Z$5="A",Inputs_Actuals!Z164,Overheads!$C$16*Assumptions!Z$106)</f>
        <v>927</v>
      </c>
      <c r="AA28" s="60" t="n">
        <f aca="false">IF(AA$5="A",Inputs_Actuals!AA164,Overheads!$C$16*Assumptions!AA$106)</f>
        <v>927</v>
      </c>
      <c r="AB28" s="60" t="n">
        <f aca="false">IF(AB$5="A",Inputs_Actuals!AB164,Overheads!$C$16*Assumptions!AB$106)</f>
        <v>927</v>
      </c>
    </row>
    <row r="29" customFormat="false" ht="15" hidden="false" customHeight="false" outlineLevel="0" collapsed="false">
      <c r="A29" s="28" t="s">
        <v>359</v>
      </c>
      <c r="B29" s="58" t="s">
        <v>1374</v>
      </c>
      <c r="C29" s="59" t="n">
        <f aca="false">SUM(E29:P29)</f>
        <v>24145</v>
      </c>
      <c r="D29" s="59" t="n">
        <f aca="false">SUM(Q29:AB29)</f>
        <v>25956</v>
      </c>
      <c r="E29" s="60" t="n">
        <f aca="false">IF(E$5="A",Inputs_Actuals!E165,Overheads!$C$17*Assumptions!E$106)</f>
        <v>2141</v>
      </c>
      <c r="F29" s="60" t="n">
        <f aca="false">IF(F$5="A",Inputs_Actuals!F165,Overheads!$C$17*Assumptions!F$106)</f>
        <v>2044</v>
      </c>
      <c r="G29" s="60" t="n">
        <f aca="false">IF(G$5="A",Inputs_Actuals!G165,Overheads!$C$17*Assumptions!G$106)</f>
        <v>1753</v>
      </c>
      <c r="H29" s="60" t="n">
        <f aca="false">IF(H$5="A",Inputs_Actuals!H165,Overheads!$C$17*Assumptions!H$106)</f>
        <v>2033</v>
      </c>
      <c r="I29" s="60" t="n">
        <f aca="false">IF(I$5="A",Inputs_Actuals!I165,Overheads!$C$17*Assumptions!I$106)</f>
        <v>1969</v>
      </c>
      <c r="J29" s="60" t="n">
        <f aca="false">IF(J$5="A",Inputs_Actuals!J165,Overheads!$C$17*Assumptions!J$106)</f>
        <v>1948</v>
      </c>
      <c r="K29" s="60" t="n">
        <f aca="false">IF(K$5="A",Inputs_Actuals!K165,Overheads!$C$17*Assumptions!K$106)</f>
        <v>2051</v>
      </c>
      <c r="L29" s="60" t="n">
        <f aca="false">IF(L$5="A",Inputs_Actuals!L165,Overheads!$C$17*Assumptions!L$106)</f>
        <v>1806</v>
      </c>
      <c r="M29" s="60" t="n">
        <f aca="false">IF(M$5="A",Inputs_Actuals!M165,Overheads!$C$17*Assumptions!M$106)</f>
        <v>2100</v>
      </c>
      <c r="N29" s="60" t="n">
        <f aca="false">IF(N$5="A",Inputs_Actuals!N165,Overheads!$C$17*Assumptions!N$106)</f>
        <v>2100</v>
      </c>
      <c r="O29" s="60" t="n">
        <f aca="false">IF(O$5="A",Inputs_Actuals!O165,Overheads!$C$17*Assumptions!O$106)</f>
        <v>2100</v>
      </c>
      <c r="P29" s="60" t="n">
        <f aca="false">IF(P$5="A",Inputs_Actuals!P165,Overheads!$C$17*Assumptions!P$106)</f>
        <v>2100</v>
      </c>
      <c r="Q29" s="60" t="n">
        <f aca="false">IF(Q$5="A",Inputs_Actuals!Q165,Overheads!$C$17*Assumptions!Q$106)</f>
        <v>2163</v>
      </c>
      <c r="R29" s="60" t="n">
        <f aca="false">IF(R$5="A",Inputs_Actuals!R165,Overheads!$C$17*Assumptions!R$106)</f>
        <v>2163</v>
      </c>
      <c r="S29" s="60" t="n">
        <f aca="false">IF(S$5="A",Inputs_Actuals!S165,Overheads!$C$17*Assumptions!S$106)</f>
        <v>2163</v>
      </c>
      <c r="T29" s="60" t="n">
        <f aca="false">IF(T$5="A",Inputs_Actuals!T165,Overheads!$C$17*Assumptions!T$106)</f>
        <v>2163</v>
      </c>
      <c r="U29" s="60" t="n">
        <f aca="false">IF(U$5="A",Inputs_Actuals!U165,Overheads!$C$17*Assumptions!U$106)</f>
        <v>2163</v>
      </c>
      <c r="V29" s="60" t="n">
        <f aca="false">IF(V$5="A",Inputs_Actuals!V165,Overheads!$C$17*Assumptions!V$106)</f>
        <v>2163</v>
      </c>
      <c r="W29" s="60" t="n">
        <f aca="false">IF(W$5="A",Inputs_Actuals!W165,Overheads!$C$17*Assumptions!W$106)</f>
        <v>2163</v>
      </c>
      <c r="X29" s="60" t="n">
        <f aca="false">IF(X$5="A",Inputs_Actuals!X165,Overheads!$C$17*Assumptions!X$106)</f>
        <v>2163</v>
      </c>
      <c r="Y29" s="60" t="n">
        <f aca="false">IF(Y$5="A",Inputs_Actuals!Y165,Overheads!$C$17*Assumptions!Y$106)</f>
        <v>2163</v>
      </c>
      <c r="Z29" s="60" t="n">
        <f aca="false">IF(Z$5="A",Inputs_Actuals!Z165,Overheads!$C$17*Assumptions!Z$106)</f>
        <v>2163</v>
      </c>
      <c r="AA29" s="60" t="n">
        <f aca="false">IF(AA$5="A",Inputs_Actuals!AA165,Overheads!$C$17*Assumptions!AA$106)</f>
        <v>2163</v>
      </c>
      <c r="AB29" s="60" t="n">
        <f aca="false">IF(AB$5="A",Inputs_Actuals!AB165,Overheads!$C$17*Assumptions!AB$106)</f>
        <v>2163</v>
      </c>
    </row>
    <row r="30" customFormat="false" ht="15" hidden="false" customHeight="false" outlineLevel="0" collapsed="false">
      <c r="A30" s="28" t="s">
        <v>360</v>
      </c>
      <c r="B30" s="58" t="s">
        <v>1374</v>
      </c>
      <c r="C30" s="59" t="n">
        <f aca="false">SUM(E30:P30)</f>
        <v>22664</v>
      </c>
      <c r="D30" s="59" t="n">
        <f aca="false">SUM(Q30:AB30)</f>
        <v>23484</v>
      </c>
      <c r="E30" s="60" t="n">
        <f aca="false">IF(E$5="A",Inputs_Actuals!E166,Overheads!$C$18*Assumptions!E$106)</f>
        <v>1684</v>
      </c>
      <c r="F30" s="60" t="n">
        <f aca="false">IF(F$5="A",Inputs_Actuals!F166,Overheads!$C$18*Assumptions!F$106)</f>
        <v>1670</v>
      </c>
      <c r="G30" s="60" t="n">
        <f aca="false">IF(G$5="A",Inputs_Actuals!G166,Overheads!$C$18*Assumptions!G$106)</f>
        <v>2012</v>
      </c>
      <c r="H30" s="60" t="n">
        <f aca="false">IF(H$5="A",Inputs_Actuals!H166,Overheads!$C$18*Assumptions!H$106)</f>
        <v>1831</v>
      </c>
      <c r="I30" s="60" t="n">
        <f aca="false">IF(I$5="A",Inputs_Actuals!I166,Overheads!$C$18*Assumptions!I$106)</f>
        <v>2054</v>
      </c>
      <c r="J30" s="60" t="n">
        <f aca="false">IF(J$5="A",Inputs_Actuals!J166,Overheads!$C$18*Assumptions!J$106)</f>
        <v>2015</v>
      </c>
      <c r="K30" s="60" t="n">
        <f aca="false">IF(K$5="A",Inputs_Actuals!K166,Overheads!$C$18*Assumptions!K$106)</f>
        <v>1685</v>
      </c>
      <c r="L30" s="60" t="n">
        <f aca="false">IF(L$5="A",Inputs_Actuals!L166,Overheads!$C$18*Assumptions!L$106)</f>
        <v>2113</v>
      </c>
      <c r="M30" s="60" t="n">
        <f aca="false">IF(M$5="A",Inputs_Actuals!M166,Overheads!$C$18*Assumptions!M$106)</f>
        <v>1900</v>
      </c>
      <c r="N30" s="60" t="n">
        <f aca="false">IF(N$5="A",Inputs_Actuals!N166,Overheads!$C$18*Assumptions!N$106)</f>
        <v>1900</v>
      </c>
      <c r="O30" s="60" t="n">
        <f aca="false">IF(O$5="A",Inputs_Actuals!O166,Overheads!$C$18*Assumptions!O$106)</f>
        <v>1900</v>
      </c>
      <c r="P30" s="60" t="n">
        <f aca="false">IF(P$5="A",Inputs_Actuals!P166,Overheads!$C$18*Assumptions!P$106)</f>
        <v>1900</v>
      </c>
      <c r="Q30" s="60" t="n">
        <f aca="false">IF(Q$5="A",Inputs_Actuals!Q166,Overheads!$C$18*Assumptions!Q$106)</f>
        <v>1957</v>
      </c>
      <c r="R30" s="60" t="n">
        <f aca="false">IF(R$5="A",Inputs_Actuals!R166,Overheads!$C$18*Assumptions!R$106)</f>
        <v>1957</v>
      </c>
      <c r="S30" s="60" t="n">
        <f aca="false">IF(S$5="A",Inputs_Actuals!S166,Overheads!$C$18*Assumptions!S$106)</f>
        <v>1957</v>
      </c>
      <c r="T30" s="60" t="n">
        <f aca="false">IF(T$5="A",Inputs_Actuals!T166,Overheads!$C$18*Assumptions!T$106)</f>
        <v>1957</v>
      </c>
      <c r="U30" s="60" t="n">
        <f aca="false">IF(U$5="A",Inputs_Actuals!U166,Overheads!$C$18*Assumptions!U$106)</f>
        <v>1957</v>
      </c>
      <c r="V30" s="60" t="n">
        <f aca="false">IF(V$5="A",Inputs_Actuals!V166,Overheads!$C$18*Assumptions!V$106)</f>
        <v>1957</v>
      </c>
      <c r="W30" s="60" t="n">
        <f aca="false">IF(W$5="A",Inputs_Actuals!W166,Overheads!$C$18*Assumptions!W$106)</f>
        <v>1957</v>
      </c>
      <c r="X30" s="60" t="n">
        <f aca="false">IF(X$5="A",Inputs_Actuals!X166,Overheads!$C$18*Assumptions!X$106)</f>
        <v>1957</v>
      </c>
      <c r="Y30" s="60" t="n">
        <f aca="false">IF(Y$5="A",Inputs_Actuals!Y166,Overheads!$C$18*Assumptions!Y$106)</f>
        <v>1957</v>
      </c>
      <c r="Z30" s="60" t="n">
        <f aca="false">IF(Z$5="A",Inputs_Actuals!Z166,Overheads!$C$18*Assumptions!Z$106)</f>
        <v>1957</v>
      </c>
      <c r="AA30" s="60" t="n">
        <f aca="false">IF(AA$5="A",Inputs_Actuals!AA166,Overheads!$C$18*Assumptions!AA$106)</f>
        <v>1957</v>
      </c>
      <c r="AB30" s="60" t="n">
        <f aca="false">IF(AB$5="A",Inputs_Actuals!AB166,Overheads!$C$18*Assumptions!AB$106)</f>
        <v>1957</v>
      </c>
    </row>
    <row r="31" customFormat="false" ht="15" hidden="false" customHeight="false" outlineLevel="0" collapsed="false">
      <c r="A31" s="28" t="s">
        <v>361</v>
      </c>
      <c r="B31" s="58" t="s">
        <v>1374</v>
      </c>
      <c r="C31" s="59" t="n">
        <f aca="false">SUM(E31:P31)</f>
        <v>13504</v>
      </c>
      <c r="D31" s="59" t="n">
        <f aca="false">SUM(Q31:AB31)</f>
        <v>14214</v>
      </c>
      <c r="E31" s="60" t="n">
        <f aca="false">IF(E$5="A",Inputs_Actuals!E167,Overheads!$C$19*Assumptions!E$106)</f>
        <v>1283</v>
      </c>
      <c r="F31" s="60" t="n">
        <f aca="false">IF(F$5="A",Inputs_Actuals!F167,Overheads!$C$19*Assumptions!F$106)</f>
        <v>978</v>
      </c>
      <c r="G31" s="60" t="n">
        <f aca="false">IF(G$5="A",Inputs_Actuals!G167,Overheads!$C$19*Assumptions!G$106)</f>
        <v>1053</v>
      </c>
      <c r="H31" s="60" t="n">
        <f aca="false">IF(H$5="A",Inputs_Actuals!H167,Overheads!$C$19*Assumptions!H$106)</f>
        <v>1177</v>
      </c>
      <c r="I31" s="60" t="n">
        <f aca="false">IF(I$5="A",Inputs_Actuals!I167,Overheads!$C$19*Assumptions!I$106)</f>
        <v>1138</v>
      </c>
      <c r="J31" s="60" t="n">
        <f aca="false">IF(J$5="A",Inputs_Actuals!J167,Overheads!$C$19*Assumptions!J$106)</f>
        <v>1127</v>
      </c>
      <c r="K31" s="60" t="n">
        <f aca="false">IF(K$5="A",Inputs_Actuals!K167,Overheads!$C$19*Assumptions!K$106)</f>
        <v>1120</v>
      </c>
      <c r="L31" s="60" t="n">
        <f aca="false">IF(L$5="A",Inputs_Actuals!L167,Overheads!$C$19*Assumptions!L$106)</f>
        <v>1028</v>
      </c>
      <c r="M31" s="60" t="n">
        <f aca="false">IF(M$5="A",Inputs_Actuals!M167,Overheads!$C$19*Assumptions!M$106)</f>
        <v>1150</v>
      </c>
      <c r="N31" s="60" t="n">
        <f aca="false">IF(N$5="A",Inputs_Actuals!N167,Overheads!$C$19*Assumptions!N$106)</f>
        <v>1150</v>
      </c>
      <c r="O31" s="60" t="n">
        <f aca="false">IF(O$5="A",Inputs_Actuals!O167,Overheads!$C$19*Assumptions!O$106)</f>
        <v>1150</v>
      </c>
      <c r="P31" s="60" t="n">
        <f aca="false">IF(P$5="A",Inputs_Actuals!P167,Overheads!$C$19*Assumptions!P$106)</f>
        <v>1150</v>
      </c>
      <c r="Q31" s="60" t="n">
        <f aca="false">IF(Q$5="A",Inputs_Actuals!Q167,Overheads!$C$19*Assumptions!Q$106)</f>
        <v>1184.5</v>
      </c>
      <c r="R31" s="60" t="n">
        <f aca="false">IF(R$5="A",Inputs_Actuals!R167,Overheads!$C$19*Assumptions!R$106)</f>
        <v>1184.5</v>
      </c>
      <c r="S31" s="60" t="n">
        <f aca="false">IF(S$5="A",Inputs_Actuals!S167,Overheads!$C$19*Assumptions!S$106)</f>
        <v>1184.5</v>
      </c>
      <c r="T31" s="60" t="n">
        <f aca="false">IF(T$5="A",Inputs_Actuals!T167,Overheads!$C$19*Assumptions!T$106)</f>
        <v>1184.5</v>
      </c>
      <c r="U31" s="60" t="n">
        <f aca="false">IF(U$5="A",Inputs_Actuals!U167,Overheads!$C$19*Assumptions!U$106)</f>
        <v>1184.5</v>
      </c>
      <c r="V31" s="60" t="n">
        <f aca="false">IF(V$5="A",Inputs_Actuals!V167,Overheads!$C$19*Assumptions!V$106)</f>
        <v>1184.5</v>
      </c>
      <c r="W31" s="60" t="n">
        <f aca="false">IF(W$5="A",Inputs_Actuals!W167,Overheads!$C$19*Assumptions!W$106)</f>
        <v>1184.5</v>
      </c>
      <c r="X31" s="60" t="n">
        <f aca="false">IF(X$5="A",Inputs_Actuals!X167,Overheads!$C$19*Assumptions!X$106)</f>
        <v>1184.5</v>
      </c>
      <c r="Y31" s="60" t="n">
        <f aca="false">IF(Y$5="A",Inputs_Actuals!Y167,Overheads!$C$19*Assumptions!Y$106)</f>
        <v>1184.5</v>
      </c>
      <c r="Z31" s="60" t="n">
        <f aca="false">IF(Z$5="A",Inputs_Actuals!Z167,Overheads!$C$19*Assumptions!Z$106)</f>
        <v>1184.5</v>
      </c>
      <c r="AA31" s="60" t="n">
        <f aca="false">IF(AA$5="A",Inputs_Actuals!AA167,Overheads!$C$19*Assumptions!AA$106)</f>
        <v>1184.5</v>
      </c>
      <c r="AB31" s="60" t="n">
        <f aca="false">IF(AB$5="A",Inputs_Actuals!AB167,Overheads!$C$19*Assumptions!AB$106)</f>
        <v>1184.5</v>
      </c>
    </row>
    <row r="32" customFormat="false" ht="15" hidden="false" customHeight="false" outlineLevel="0" collapsed="false">
      <c r="A32" s="68" t="s">
        <v>1376</v>
      </c>
      <c r="B32" s="69"/>
      <c r="C32" s="70" t="n">
        <f aca="false">SUM(E32:P32)</f>
        <v>452178</v>
      </c>
      <c r="D32" s="70" t="n">
        <f aca="false">SUM(Q32:AB32)</f>
        <v>457611</v>
      </c>
      <c r="E32" s="70" t="n">
        <f aca="false">E21+E22+E23+E24+E25+E26+E27+E28+E29+E30+E31</f>
        <v>32945</v>
      </c>
      <c r="F32" s="70" t="n">
        <f aca="false">F21+F22+F23+F24+F25+F26+F27+F28+F29+F30+F31</f>
        <v>37640</v>
      </c>
      <c r="G32" s="70" t="n">
        <f aca="false">G21+G22+G23+G24+G25+G26+G27+G28+G29+G30+G31</f>
        <v>43084</v>
      </c>
      <c r="H32" s="70" t="n">
        <f aca="false">H21+H22+H23+H24+H25+H26+H27+H28+H29+H30+H31</f>
        <v>37915</v>
      </c>
      <c r="I32" s="70" t="n">
        <f aca="false">I21+I22+I23+I24+I25+I26+I27+I28+I29+I30+I31</f>
        <v>42878</v>
      </c>
      <c r="J32" s="70" t="n">
        <f aca="false">J21+J22+J23+J24+J25+J26+J27+J28+J29+J30+J31</f>
        <v>35450</v>
      </c>
      <c r="K32" s="70" t="n">
        <f aca="false">K21+K22+K23+K24+K25+K26+K27+K28+K29+K30+K31</f>
        <v>35286</v>
      </c>
      <c r="L32" s="70" t="n">
        <f aca="false">L21+L22+L23+L24+L25+L26+L27+L28+L29+L30+L31</f>
        <v>32580</v>
      </c>
      <c r="M32" s="70" t="n">
        <f aca="false">M21+M22+M23+M24+M25+M26+M27+M28+M29+M30+M31</f>
        <v>36350</v>
      </c>
      <c r="N32" s="70" t="n">
        <f aca="false">N21+N22+N23+N24+N25+N26+N27+N28+N29+N30+N31</f>
        <v>40850</v>
      </c>
      <c r="O32" s="70" t="n">
        <f aca="false">O21+O22+O23+O24+O25+O26+O27+O28+O29+O30+O31</f>
        <v>40850</v>
      </c>
      <c r="P32" s="70" t="n">
        <f aca="false">P21+P22+P23+P24+P25+P26+P27+P28+P29+P30+P31</f>
        <v>36350</v>
      </c>
      <c r="Q32" s="70" t="n">
        <f aca="false">Q21+Q22+Q23+Q24+Q25+Q26+Q27+Q28+Q29+Q30+Q31</f>
        <v>39465.5</v>
      </c>
      <c r="R32" s="70" t="n">
        <f aca="false">R21+R22+R23+R24+R25+R26+R27+R28+R29+R30+R31</f>
        <v>37440.5</v>
      </c>
      <c r="S32" s="70" t="n">
        <f aca="false">S21+S22+S23+S24+S25+S26+S27+S28+S29+S30+S31</f>
        <v>39240.5</v>
      </c>
      <c r="T32" s="70" t="n">
        <f aca="false">T21+T22+T23+T24+T25+T26+T27+T28+T29+T30+T31</f>
        <v>41940.5</v>
      </c>
      <c r="U32" s="70" t="n">
        <f aca="false">U21+U22+U23+U24+U25+U26+U27+U28+U29+U30+U31</f>
        <v>37440.5</v>
      </c>
      <c r="V32" s="70" t="n">
        <f aca="false">V21+V22+V23+V24+V25+V26+V27+V28+V29+V30+V31</f>
        <v>37440.5</v>
      </c>
      <c r="W32" s="70" t="n">
        <f aca="false">W21+W22+W23+W24+W25+W26+W27+W28+W29+W30+W31</f>
        <v>37440.5</v>
      </c>
      <c r="X32" s="70" t="n">
        <f aca="false">X21+X22+X23+X24+X25+X26+X27+X28+X29+X30+X31</f>
        <v>37440.5</v>
      </c>
      <c r="Y32" s="70" t="n">
        <f aca="false">Y21+Y22+Y23+Y24+Y25+Y26+Y27+Y28+Y29+Y30+Y31</f>
        <v>37440.5</v>
      </c>
      <c r="Z32" s="70" t="n">
        <f aca="false">Z21+Z22+Z23+Z24+Z25+Z26+Z27+Z28+Z29+Z30+Z31</f>
        <v>37440.5</v>
      </c>
      <c r="AA32" s="70" t="n">
        <f aca="false">AA21+AA22+AA23+AA24+AA25+AA26+AA27+AA28+AA29+AA30+AA31</f>
        <v>37440.5</v>
      </c>
      <c r="AB32" s="70" t="n">
        <f aca="false">AB21+AB22+AB23+AB24+AB25+AB26+AB27+AB28+AB29+AB30+AB31</f>
        <v>37440.5</v>
      </c>
    </row>
    <row r="33" customFormat="false" ht="15" hidden="false" customHeight="false" outlineLevel="0" collapsed="false">
      <c r="A33" s="28" t="s">
        <v>1377</v>
      </c>
      <c r="B33" s="58" t="s">
        <v>1378</v>
      </c>
      <c r="C33" s="59" t="n">
        <f aca="false">SUM(E33:P33)</f>
        <v>292788.65</v>
      </c>
      <c r="D33" s="59" t="n">
        <f aca="false">SUM(Q33:AB33)</f>
        <v>291987</v>
      </c>
      <c r="E33" s="60" t="n">
        <f aca="false">E21*Overheads!$D$9+E22*Overheads!$D$10+E23*Overheads!$D$11+E24*Overheads!$D$12+E25*Overheads!$D$13+E26*Overheads!$D$14+E27*Overheads!$D$15+E28*Overheads!$D$16+E29*Overheads!$D$17+E30*Overheads!$D$18+E31*Overheads!$D$19</f>
        <v>21453.6</v>
      </c>
      <c r="F33" s="60" t="n">
        <f aca="false">F21*Overheads!$D$9+F22*Overheads!$D$10+F23*Overheads!$D$11+F24*Overheads!$D$12+F25*Overheads!$D$13+F26*Overheads!$D$14+F27*Overheads!$D$15+F28*Overheads!$D$16+F29*Overheads!$D$17+F30*Overheads!$D$18+F31*Overheads!$D$19</f>
        <v>23400.6</v>
      </c>
      <c r="G33" s="60" t="n">
        <f aca="false">G21*Overheads!$D$9+G22*Overheads!$D$10+G23*Overheads!$D$11+G24*Overheads!$D$12+G25*Overheads!$D$13+G26*Overheads!$D$14+G27*Overheads!$D$15+G28*Overheads!$D$16+G29*Overheads!$D$17+G30*Overheads!$D$18+G31*Overheads!$D$19</f>
        <v>28244.6</v>
      </c>
      <c r="H33" s="60" t="n">
        <f aca="false">H21*Overheads!$D$9+H22*Overheads!$D$10+H23*Overheads!$D$11+H24*Overheads!$D$12+H25*Overheads!$D$13+H26*Overheads!$D$14+H27*Overheads!$D$15+H28*Overheads!$D$16+H29*Overheads!$D$17+H30*Overheads!$D$18+H31*Overheads!$D$19</f>
        <v>23444</v>
      </c>
      <c r="I33" s="60" t="n">
        <f aca="false">I21*Overheads!$D$9+I22*Overheads!$D$10+I23*Overheads!$D$11+I24*Overheads!$D$12+I25*Overheads!$D$13+I26*Overheads!$D$14+I27*Overheads!$D$15+I28*Overheads!$D$16+I29*Overheads!$D$17+I30*Overheads!$D$18+I31*Overheads!$D$19</f>
        <v>25975.15</v>
      </c>
      <c r="J33" s="60" t="n">
        <f aca="false">J21*Overheads!$D$9+J22*Overheads!$D$10+J23*Overheads!$D$11+J24*Overheads!$D$12+J25*Overheads!$D$13+J26*Overheads!$D$14+J27*Overheads!$D$15+J28*Overheads!$D$16+J29*Overheads!$D$17+J30*Overheads!$D$18+J31*Overheads!$D$19</f>
        <v>22737.75</v>
      </c>
      <c r="K33" s="60" t="n">
        <f aca="false">K21*Overheads!$D$9+K22*Overheads!$D$10+K23*Overheads!$D$11+K24*Overheads!$D$12+K25*Overheads!$D$13+K26*Overheads!$D$14+K27*Overheads!$D$15+K28*Overheads!$D$16+K29*Overheads!$D$17+K30*Overheads!$D$18+K31*Overheads!$D$19</f>
        <v>25096.35</v>
      </c>
      <c r="L33" s="60" t="n">
        <f aca="false">L21*Overheads!$D$9+L22*Overheads!$D$10+L23*Overheads!$D$11+L24*Overheads!$D$12+L25*Overheads!$D$13+L26*Overheads!$D$14+L27*Overheads!$D$15+L28*Overheads!$D$16+L29*Overheads!$D$17+L30*Overheads!$D$18+L31*Overheads!$D$19</f>
        <v>21636.6</v>
      </c>
      <c r="M33" s="60" t="n">
        <f aca="false">M21*Overheads!$D$9+M22*Overheads!$D$10+M23*Overheads!$D$11+M24*Overheads!$D$12+M25*Overheads!$D$13+M26*Overheads!$D$14+M27*Overheads!$D$15+M28*Overheads!$D$16+M29*Overheads!$D$17+M30*Overheads!$D$18+M31*Overheads!$D$19</f>
        <v>22950</v>
      </c>
      <c r="N33" s="60" t="n">
        <f aca="false">N21*Overheads!$D$9+N22*Overheads!$D$10+N23*Overheads!$D$11+N24*Overheads!$D$12+N25*Overheads!$D$13+N26*Overheads!$D$14+N27*Overheads!$D$15+N28*Overheads!$D$16+N29*Overheads!$D$17+N30*Overheads!$D$18+N31*Overheads!$D$19</f>
        <v>27450</v>
      </c>
      <c r="O33" s="60" t="n">
        <f aca="false">O21*Overheads!$D$9+O22*Overheads!$D$10+O23*Overheads!$D$11+O24*Overheads!$D$12+O25*Overheads!$D$13+O26*Overheads!$D$14+O27*Overheads!$D$15+O28*Overheads!$D$16+O29*Overheads!$D$17+O30*Overheads!$D$18+O31*Overheads!$D$19</f>
        <v>27450</v>
      </c>
      <c r="P33" s="60" t="n">
        <f aca="false">P21*Overheads!$D$9+P22*Overheads!$D$10+P23*Overheads!$D$11+P24*Overheads!$D$12+P25*Overheads!$D$13+P26*Overheads!$D$14+P27*Overheads!$D$15+P28*Overheads!$D$16+P29*Overheads!$D$17+P30*Overheads!$D$18+P31*Overheads!$D$19</f>
        <v>22950</v>
      </c>
      <c r="Q33" s="60" t="n">
        <f aca="false">Q21*Overheads!$D$9+Q22*Overheads!$D$10+Q23*Overheads!$D$11+Q24*Overheads!$D$12+Q25*Overheads!$D$13+Q26*Overheads!$D$14+Q27*Overheads!$D$15+Q28*Overheads!$D$16+Q29*Overheads!$D$17+Q30*Overheads!$D$18+Q31*Overheads!$D$19</f>
        <v>25663.5</v>
      </c>
      <c r="R33" s="60" t="n">
        <f aca="false">R21*Overheads!$D$9+R22*Overheads!$D$10+R23*Overheads!$D$11+R24*Overheads!$D$12+R25*Overheads!$D$13+R26*Overheads!$D$14+R27*Overheads!$D$15+R28*Overheads!$D$16+R29*Overheads!$D$17+R30*Overheads!$D$18+R31*Overheads!$D$19</f>
        <v>23638.5</v>
      </c>
      <c r="S33" s="60" t="n">
        <f aca="false">S21*Overheads!$D$9+S22*Overheads!$D$10+S23*Overheads!$D$11+S24*Overheads!$D$12+S25*Overheads!$D$13+S26*Overheads!$D$14+S27*Overheads!$D$15+S28*Overheads!$D$16+S29*Overheads!$D$17+S30*Overheads!$D$18+S31*Overheads!$D$19</f>
        <v>25438.5</v>
      </c>
      <c r="T33" s="60" t="n">
        <f aca="false">T21*Overheads!$D$9+T22*Overheads!$D$10+T23*Overheads!$D$11+T24*Overheads!$D$12+T25*Overheads!$D$13+T26*Overheads!$D$14+T27*Overheads!$D$15+T28*Overheads!$D$16+T29*Overheads!$D$17+T30*Overheads!$D$18+T31*Overheads!$D$19</f>
        <v>28138.5</v>
      </c>
      <c r="U33" s="60" t="n">
        <f aca="false">U21*Overheads!$D$9+U22*Overheads!$D$10+U23*Overheads!$D$11+U24*Overheads!$D$12+U25*Overheads!$D$13+U26*Overheads!$D$14+U27*Overheads!$D$15+U28*Overheads!$D$16+U29*Overheads!$D$17+U30*Overheads!$D$18+U31*Overheads!$D$19</f>
        <v>23638.5</v>
      </c>
      <c r="V33" s="60" t="n">
        <f aca="false">V21*Overheads!$D$9+V22*Overheads!$D$10+V23*Overheads!$D$11+V24*Overheads!$D$12+V25*Overheads!$D$13+V26*Overheads!$D$14+V27*Overheads!$D$15+V28*Overheads!$D$16+V29*Overheads!$D$17+V30*Overheads!$D$18+V31*Overheads!$D$19</f>
        <v>23638.5</v>
      </c>
      <c r="W33" s="60" t="n">
        <f aca="false">W21*Overheads!$D$9+W22*Overheads!$D$10+W23*Overheads!$D$11+W24*Overheads!$D$12+W25*Overheads!$D$13+W26*Overheads!$D$14+W27*Overheads!$D$15+W28*Overheads!$D$16+W29*Overheads!$D$17+W30*Overheads!$D$18+W31*Overheads!$D$19</f>
        <v>23638.5</v>
      </c>
      <c r="X33" s="60" t="n">
        <f aca="false">X21*Overheads!$D$9+X22*Overheads!$D$10+X23*Overheads!$D$11+X24*Overheads!$D$12+X25*Overheads!$D$13+X26*Overheads!$D$14+X27*Overheads!$D$15+X28*Overheads!$D$16+X29*Overheads!$D$17+X30*Overheads!$D$18+X31*Overheads!$D$19</f>
        <v>23638.5</v>
      </c>
      <c r="Y33" s="60" t="n">
        <f aca="false">Y21*Overheads!$D$9+Y22*Overheads!$D$10+Y23*Overheads!$D$11+Y24*Overheads!$D$12+Y25*Overheads!$D$13+Y26*Overheads!$D$14+Y27*Overheads!$D$15+Y28*Overheads!$D$16+Y29*Overheads!$D$17+Y30*Overheads!$D$18+Y31*Overheads!$D$19</f>
        <v>23638.5</v>
      </c>
      <c r="Z33" s="60" t="n">
        <f aca="false">Z21*Overheads!$D$9+Z22*Overheads!$D$10+Z23*Overheads!$D$11+Z24*Overheads!$D$12+Z25*Overheads!$D$13+Z26*Overheads!$D$14+Z27*Overheads!$D$15+Z28*Overheads!$D$16+Z29*Overheads!$D$17+Z30*Overheads!$D$18+Z31*Overheads!$D$19</f>
        <v>23638.5</v>
      </c>
      <c r="AA33" s="60" t="n">
        <f aca="false">AA21*Overheads!$D$9+AA22*Overheads!$D$10+AA23*Overheads!$D$11+AA24*Overheads!$D$12+AA25*Overheads!$D$13+AA26*Overheads!$D$14+AA27*Overheads!$D$15+AA28*Overheads!$D$16+AA29*Overheads!$D$17+AA30*Overheads!$D$18+AA31*Overheads!$D$19</f>
        <v>23638.5</v>
      </c>
      <c r="AB33" s="60" t="n">
        <f aca="false">AB21*Overheads!$D$9+AB22*Overheads!$D$10+AB23*Overheads!$D$11+AB24*Overheads!$D$12+AB25*Overheads!$D$13+AB26*Overheads!$D$14+AB27*Overheads!$D$15+AB28*Overheads!$D$16+AB29*Overheads!$D$17+AB30*Overheads!$D$18+AB31*Overheads!$D$19</f>
        <v>23638.5</v>
      </c>
    </row>
    <row r="34" customFormat="false" ht="15" hidden="false" customHeight="false" outlineLevel="0" collapsed="false">
      <c r="A34" s="28" t="s">
        <v>1379</v>
      </c>
      <c r="B34" s="58" t="s">
        <v>1380</v>
      </c>
      <c r="C34" s="59" t="n">
        <f aca="false">SUM(E34:P34)</f>
        <v>58057.5</v>
      </c>
      <c r="D34" s="59" t="n">
        <f aca="false">SUM(Q34:AB34)</f>
        <v>60255</v>
      </c>
      <c r="E34" s="60" t="n">
        <f aca="false">E22*Assumptions!$C$28</f>
        <v>4869</v>
      </c>
      <c r="F34" s="60" t="n">
        <f aca="false">F22*Assumptions!$C$28</f>
        <v>4664.25</v>
      </c>
      <c r="G34" s="60" t="n">
        <f aca="false">G22*Assumptions!$C$28</f>
        <v>4886.25</v>
      </c>
      <c r="H34" s="60" t="n">
        <f aca="false">H22*Assumptions!$C$28</f>
        <v>4635</v>
      </c>
      <c r="I34" s="60" t="n">
        <f aca="false">I22*Assumptions!$C$28</f>
        <v>5037</v>
      </c>
      <c r="J34" s="60" t="n">
        <f aca="false">J22*Assumptions!$C$28</f>
        <v>4595.25</v>
      </c>
      <c r="K34" s="60" t="n">
        <f aca="false">K22*Assumptions!$C$28</f>
        <v>5061</v>
      </c>
      <c r="L34" s="60" t="n">
        <f aca="false">L22*Assumptions!$C$28</f>
        <v>4809.75</v>
      </c>
      <c r="M34" s="60" t="n">
        <f aca="false">M22*Assumptions!$C$28</f>
        <v>4875</v>
      </c>
      <c r="N34" s="60" t="n">
        <f aca="false">N22*Assumptions!$C$28</f>
        <v>4875</v>
      </c>
      <c r="O34" s="60" t="n">
        <f aca="false">O22*Assumptions!$C$28</f>
        <v>4875</v>
      </c>
      <c r="P34" s="60" t="n">
        <f aca="false">P22*Assumptions!$C$28</f>
        <v>4875</v>
      </c>
      <c r="Q34" s="60" t="n">
        <f aca="false">Q22*Assumptions!$C$28</f>
        <v>5021.25</v>
      </c>
      <c r="R34" s="60" t="n">
        <f aca="false">R22*Assumptions!$C$28</f>
        <v>5021.25</v>
      </c>
      <c r="S34" s="60" t="n">
        <f aca="false">S22*Assumptions!$C$28</f>
        <v>5021.25</v>
      </c>
      <c r="T34" s="60" t="n">
        <f aca="false">T22*Assumptions!$C$28</f>
        <v>5021.25</v>
      </c>
      <c r="U34" s="60" t="n">
        <f aca="false">U22*Assumptions!$C$28</f>
        <v>5021.25</v>
      </c>
      <c r="V34" s="60" t="n">
        <f aca="false">V22*Assumptions!$C$28</f>
        <v>5021.25</v>
      </c>
      <c r="W34" s="60" t="n">
        <f aca="false">W22*Assumptions!$C$28</f>
        <v>5021.25</v>
      </c>
      <c r="X34" s="60" t="n">
        <f aca="false">X22*Assumptions!$C$28</f>
        <v>5021.25</v>
      </c>
      <c r="Y34" s="60" t="n">
        <f aca="false">Y22*Assumptions!$C$28</f>
        <v>5021.25</v>
      </c>
      <c r="Z34" s="60" t="n">
        <f aca="false">Z22*Assumptions!$C$28</f>
        <v>5021.25</v>
      </c>
      <c r="AA34" s="60" t="n">
        <f aca="false">AA22*Assumptions!$C$28</f>
        <v>5021.25</v>
      </c>
      <c r="AB34" s="60" t="n">
        <f aca="false">AB22*Assumptions!$C$28</f>
        <v>5021.25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1381</v>
      </c>
    </row>
    <row r="3" customFormat="false" ht="15" hidden="false" customHeight="false" outlineLevel="0" collapsed="false">
      <c r="A3" s="49" t="s">
        <v>1382</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1383</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1384</v>
      </c>
      <c r="B9" s="58"/>
      <c r="E9" s="60" t="n">
        <f aca="false">Inputs_Actuals!$C$181</f>
        <v>142000</v>
      </c>
      <c r="F9" s="71" t="n">
        <f aca="false">E11</f>
        <v>144600</v>
      </c>
      <c r="G9" s="71" t="n">
        <f aca="false">F11</f>
        <v>146000</v>
      </c>
      <c r="H9" s="71" t="n">
        <f aca="false">G11</f>
        <v>149100</v>
      </c>
      <c r="I9" s="71" t="n">
        <f aca="false">H11</f>
        <v>154300</v>
      </c>
      <c r="J9" s="71" t="n">
        <f aca="false">I11</f>
        <v>155200</v>
      </c>
      <c r="K9" s="71" t="n">
        <f aca="false">J11</f>
        <v>157600</v>
      </c>
      <c r="L9" s="71" t="n">
        <f aca="false">K11</f>
        <v>162400</v>
      </c>
      <c r="M9" s="71" t="n">
        <f aca="false">L11</f>
        <v>164000</v>
      </c>
      <c r="N9" s="71" t="n">
        <f aca="false">M11</f>
        <v>166800</v>
      </c>
      <c r="O9" s="71" t="n">
        <f aca="false">N11</f>
        <v>172200</v>
      </c>
      <c r="P9" s="71" t="n">
        <f aca="false">O11</f>
        <v>177600</v>
      </c>
      <c r="Q9" s="71" t="n">
        <f aca="false">P11</f>
        <v>180400</v>
      </c>
      <c r="R9" s="71" t="n">
        <f aca="false">Q11</f>
        <v>184496</v>
      </c>
      <c r="S9" s="71" t="n">
        <f aca="false">R11</f>
        <v>187422</v>
      </c>
      <c r="T9" s="71" t="n">
        <f aca="false">S11</f>
        <v>191388</v>
      </c>
      <c r="U9" s="71" t="n">
        <f aca="false">T11</f>
        <v>196914</v>
      </c>
      <c r="V9" s="71" t="n">
        <f aca="false">U11</f>
        <v>199840</v>
      </c>
      <c r="W9" s="71" t="n">
        <f aca="false">V11</f>
        <v>202766</v>
      </c>
      <c r="X9" s="71" t="n">
        <f aca="false">W11</f>
        <v>205692</v>
      </c>
      <c r="Y9" s="71" t="n">
        <f aca="false">X11</f>
        <v>208618</v>
      </c>
      <c r="Z9" s="71" t="n">
        <f aca="false">Y11</f>
        <v>211544</v>
      </c>
      <c r="AA9" s="71" t="n">
        <f aca="false">Z11</f>
        <v>214470</v>
      </c>
      <c r="AB9" s="71" t="n">
        <f aca="false">AA11</f>
        <v>217396</v>
      </c>
    </row>
    <row r="10" customFormat="false" ht="15" hidden="false" customHeight="false" outlineLevel="0" collapsed="false">
      <c r="A10" s="28" t="s">
        <v>1385</v>
      </c>
      <c r="B10" s="58" t="s">
        <v>1386</v>
      </c>
      <c r="C10" s="59" t="n">
        <f aca="false">SUM(E10:P10)</f>
        <v>38400</v>
      </c>
      <c r="D10" s="59" t="n">
        <f aca="false">SUM(Q10:AB10)</f>
        <v>39922</v>
      </c>
      <c r="E10" s="60" t="n">
        <f aca="false">IF(E$5="A",Inputs_Actuals!E169,Assumptions!$C$64*Assumptions!E$105+(Utilisation!E21+People!E25)*Assumptions!$C$63)</f>
        <v>2600</v>
      </c>
      <c r="F10" s="60" t="n">
        <f aca="false">IF(F$5="A",Inputs_Actuals!F169,Assumptions!$C$64*Assumptions!F$105+(Utilisation!F21+People!F25)*Assumptions!$C$63)</f>
        <v>1400</v>
      </c>
      <c r="G10" s="60" t="n">
        <f aca="false">IF(G$5="A",Inputs_Actuals!G169,Assumptions!$C$64*Assumptions!G$105+(Utilisation!G21+People!G25)*Assumptions!$C$63)</f>
        <v>3100</v>
      </c>
      <c r="H10" s="60" t="n">
        <f aca="false">IF(H$5="A",Inputs_Actuals!H169,Assumptions!$C$64*Assumptions!H$105+(Utilisation!H21+People!H25)*Assumptions!$C$63)</f>
        <v>5200</v>
      </c>
      <c r="I10" s="60" t="n">
        <f aca="false">IF(I$5="A",Inputs_Actuals!I169,Assumptions!$C$64*Assumptions!I$105+(Utilisation!I21+People!I25)*Assumptions!$C$63)</f>
        <v>900</v>
      </c>
      <c r="J10" s="60" t="n">
        <f aca="false">IF(J$5="A",Inputs_Actuals!J169,Assumptions!$C$64*Assumptions!J$105+(Utilisation!J21+People!J25)*Assumptions!$C$63)</f>
        <v>2400</v>
      </c>
      <c r="K10" s="60" t="n">
        <f aca="false">IF(K$5="A",Inputs_Actuals!K169,Assumptions!$C$64*Assumptions!K$105+(Utilisation!K21+People!K25)*Assumptions!$C$63)</f>
        <v>4800</v>
      </c>
      <c r="L10" s="60" t="n">
        <f aca="false">IF(L$5="A",Inputs_Actuals!L169,Assumptions!$C$64*Assumptions!L$105+(Utilisation!L21+People!L25)*Assumptions!$C$63)</f>
        <v>1600</v>
      </c>
      <c r="M10" s="60" t="n">
        <f aca="false">IF(M$5="A",Inputs_Actuals!M169,Assumptions!$C$64*Assumptions!M$105+(Utilisation!M21+People!M25)*Assumptions!$C$63)</f>
        <v>2800</v>
      </c>
      <c r="N10" s="60" t="n">
        <f aca="false">IF(N$5="A",Inputs_Actuals!N169,Assumptions!$C$64*Assumptions!N$105+(Utilisation!N21+People!N25)*Assumptions!$C$63)</f>
        <v>5400</v>
      </c>
      <c r="O10" s="60" t="n">
        <f aca="false">IF(O$5="A",Inputs_Actuals!O169,Assumptions!$C$64*Assumptions!O$105+(Utilisation!O21+People!O25)*Assumptions!$C$63)</f>
        <v>5400</v>
      </c>
      <c r="P10" s="60" t="n">
        <f aca="false">IF(P$5="A",Inputs_Actuals!P169,Assumptions!$C$64*Assumptions!P$105+(Utilisation!P21+People!P25)*Assumptions!$C$63)</f>
        <v>2800</v>
      </c>
      <c r="Q10" s="60" t="n">
        <f aca="false">IF(Q$5="A",Inputs_Actuals!Q169,Assumptions!$C$64*Assumptions!Q$105+(Utilisation!Q21+People!Q25)*Assumptions!$C$63)</f>
        <v>4096</v>
      </c>
      <c r="R10" s="60" t="n">
        <f aca="false">IF(R$5="A",Inputs_Actuals!R169,Assumptions!$C$64*Assumptions!R$105+(Utilisation!R21+People!R25)*Assumptions!$C$63)</f>
        <v>2926</v>
      </c>
      <c r="S10" s="60" t="n">
        <f aca="false">IF(S$5="A",Inputs_Actuals!S169,Assumptions!$C$64*Assumptions!S$105+(Utilisation!S21+People!S25)*Assumptions!$C$63)</f>
        <v>3966</v>
      </c>
      <c r="T10" s="60" t="n">
        <f aca="false">IF(T$5="A",Inputs_Actuals!T169,Assumptions!$C$64*Assumptions!T$105+(Utilisation!T21+People!T25)*Assumptions!$C$63)</f>
        <v>5526</v>
      </c>
      <c r="U10" s="60" t="n">
        <f aca="false">IF(U$5="A",Inputs_Actuals!U169,Assumptions!$C$64*Assumptions!U$105+(Utilisation!U21+People!U25)*Assumptions!$C$63)</f>
        <v>2926</v>
      </c>
      <c r="V10" s="60" t="n">
        <f aca="false">IF(V$5="A",Inputs_Actuals!V169,Assumptions!$C$64*Assumptions!V$105+(Utilisation!V21+People!V25)*Assumptions!$C$63)</f>
        <v>2926</v>
      </c>
      <c r="W10" s="60" t="n">
        <f aca="false">IF(W$5="A",Inputs_Actuals!W169,Assumptions!$C$64*Assumptions!W$105+(Utilisation!W21+People!W25)*Assumptions!$C$63)</f>
        <v>2926</v>
      </c>
      <c r="X10" s="60" t="n">
        <f aca="false">IF(X$5="A",Inputs_Actuals!X169,Assumptions!$C$64*Assumptions!X$105+(Utilisation!X21+People!X25)*Assumptions!$C$63)</f>
        <v>2926</v>
      </c>
      <c r="Y10" s="60" t="n">
        <f aca="false">IF(Y$5="A",Inputs_Actuals!Y169,Assumptions!$C$64*Assumptions!Y$105+(Utilisation!Y21+People!Y25)*Assumptions!$C$63)</f>
        <v>2926</v>
      </c>
      <c r="Z10" s="60" t="n">
        <f aca="false">IF(Z$5="A",Inputs_Actuals!Z169,Assumptions!$C$64*Assumptions!Z$105+(Utilisation!Z21+People!Z25)*Assumptions!$C$63)</f>
        <v>2926</v>
      </c>
      <c r="AA10" s="60" t="n">
        <f aca="false">IF(AA$5="A",Inputs_Actuals!AA169,Assumptions!$C$64*Assumptions!AA$105+(Utilisation!AA21+People!AA25)*Assumptions!$C$63)</f>
        <v>2926</v>
      </c>
      <c r="AB10" s="60" t="n">
        <f aca="false">IF(AB$5="A",Inputs_Actuals!AB169,Assumptions!$C$64*Assumptions!AB$105+(Utilisation!AB21+People!AB25)*Assumptions!$C$63)</f>
        <v>2926</v>
      </c>
    </row>
    <row r="11" customFormat="false" ht="15" hidden="false" customHeight="false" outlineLevel="0" collapsed="false">
      <c r="A11" s="28" t="s">
        <v>1387</v>
      </c>
      <c r="B11" s="58"/>
      <c r="C11" s="59" t="n">
        <f aca="false">P11</f>
        <v>180400</v>
      </c>
      <c r="D11" s="59" t="n">
        <f aca="false">AB11</f>
        <v>220322</v>
      </c>
      <c r="E11" s="71" t="n">
        <f aca="false">E9+E10</f>
        <v>144600</v>
      </c>
      <c r="F11" s="71" t="n">
        <f aca="false">F9+F10</f>
        <v>146000</v>
      </c>
      <c r="G11" s="71" t="n">
        <f aca="false">G9+G10</f>
        <v>149100</v>
      </c>
      <c r="H11" s="71" t="n">
        <f aca="false">H9+H10</f>
        <v>154300</v>
      </c>
      <c r="I11" s="71" t="n">
        <f aca="false">I9+I10</f>
        <v>155200</v>
      </c>
      <c r="J11" s="71" t="n">
        <f aca="false">J9+J10</f>
        <v>157600</v>
      </c>
      <c r="K11" s="71" t="n">
        <f aca="false">K9+K10</f>
        <v>162400</v>
      </c>
      <c r="L11" s="71" t="n">
        <f aca="false">L9+L10</f>
        <v>164000</v>
      </c>
      <c r="M11" s="71" t="n">
        <f aca="false">M9+M10</f>
        <v>166800</v>
      </c>
      <c r="N11" s="71" t="n">
        <f aca="false">N9+N10</f>
        <v>172200</v>
      </c>
      <c r="O11" s="71" t="n">
        <f aca="false">O9+O10</f>
        <v>177600</v>
      </c>
      <c r="P11" s="71" t="n">
        <f aca="false">P9+P10</f>
        <v>180400</v>
      </c>
      <c r="Q11" s="71" t="n">
        <f aca="false">Q9+Q10</f>
        <v>184496</v>
      </c>
      <c r="R11" s="71" t="n">
        <f aca="false">R9+R10</f>
        <v>187422</v>
      </c>
      <c r="S11" s="71" t="n">
        <f aca="false">S9+S10</f>
        <v>191388</v>
      </c>
      <c r="T11" s="71" t="n">
        <f aca="false">T9+T10</f>
        <v>196914</v>
      </c>
      <c r="U11" s="71" t="n">
        <f aca="false">U9+U10</f>
        <v>199840</v>
      </c>
      <c r="V11" s="71" t="n">
        <f aca="false">V9+V10</f>
        <v>202766</v>
      </c>
      <c r="W11" s="71" t="n">
        <f aca="false">W9+W10</f>
        <v>205692</v>
      </c>
      <c r="X11" s="71" t="n">
        <f aca="false">X9+X10</f>
        <v>208618</v>
      </c>
      <c r="Y11" s="71" t="n">
        <f aca="false">Y9+Y10</f>
        <v>211544</v>
      </c>
      <c r="Z11" s="71" t="n">
        <f aca="false">Z9+Z10</f>
        <v>214470</v>
      </c>
      <c r="AA11" s="71" t="n">
        <f aca="false">AA9+AA10</f>
        <v>217396</v>
      </c>
      <c r="AB11" s="71" t="n">
        <f aca="false">AB9+AB10</f>
        <v>220322</v>
      </c>
    </row>
    <row r="12" customFormat="false" ht="15" hidden="false" customHeight="false" outlineLevel="0" collapsed="false">
      <c r="A12" s="28" t="s">
        <v>1388</v>
      </c>
      <c r="B12" s="58"/>
      <c r="E12" s="60" t="n">
        <f aca="false">Inputs_Actuals!$C$182</f>
        <v>78000</v>
      </c>
      <c r="F12" s="71" t="n">
        <f aca="false">E14</f>
        <v>82016.6666666667</v>
      </c>
      <c r="G12" s="71" t="n">
        <f aca="false">F14</f>
        <v>86072.2222222222</v>
      </c>
      <c r="H12" s="71" t="n">
        <f aca="false">G14</f>
        <v>90213.8888888889</v>
      </c>
      <c r="I12" s="71" t="n">
        <f aca="false">H14</f>
        <v>94500</v>
      </c>
      <c r="J12" s="71" t="n">
        <f aca="false">I14</f>
        <v>98811.1111111111</v>
      </c>
      <c r="K12" s="71" t="n">
        <f aca="false">J14</f>
        <v>103188.888888889</v>
      </c>
      <c r="L12" s="71" t="n">
        <f aca="false">K14</f>
        <v>107700</v>
      </c>
      <c r="M12" s="71" t="n">
        <f aca="false">L14</f>
        <v>112255.555555556</v>
      </c>
      <c r="N12" s="71" t="n">
        <f aca="false">M14</f>
        <v>116888.888888889</v>
      </c>
      <c r="O12" s="71" t="n">
        <f aca="false">N14</f>
        <v>121672.222222222</v>
      </c>
      <c r="P12" s="71" t="n">
        <f aca="false">O14</f>
        <v>126605.555555556</v>
      </c>
      <c r="Q12" s="71" t="n">
        <f aca="false">P14</f>
        <v>131616.666666667</v>
      </c>
      <c r="R12" s="71" t="n">
        <f aca="false">Q14</f>
        <v>136741.555555556</v>
      </c>
      <c r="S12" s="71" t="n">
        <f aca="false">R14</f>
        <v>141947.722222222</v>
      </c>
      <c r="T12" s="71" t="n">
        <f aca="false">S14</f>
        <v>147264.055555556</v>
      </c>
      <c r="U12" s="71" t="n">
        <f aca="false">T14</f>
        <v>152733.888888889</v>
      </c>
      <c r="V12" s="71" t="n">
        <f aca="false">U14</f>
        <v>158285</v>
      </c>
      <c r="W12" s="71" t="n">
        <f aca="false">V14</f>
        <v>163917.388888889</v>
      </c>
      <c r="X12" s="71" t="n">
        <f aca="false">W14</f>
        <v>169631.055555556</v>
      </c>
      <c r="Y12" s="71" t="n">
        <f aca="false">X14</f>
        <v>175426</v>
      </c>
      <c r="Z12" s="71" t="n">
        <f aca="false">Y14</f>
        <v>181302.222222222</v>
      </c>
      <c r="AA12" s="71" t="n">
        <f aca="false">Z14</f>
        <v>187259.722222222</v>
      </c>
      <c r="AB12" s="71" t="n">
        <f aca="false">AA14</f>
        <v>193298.5</v>
      </c>
    </row>
    <row r="13" customFormat="false" ht="15" hidden="false" customHeight="false" outlineLevel="0" collapsed="false">
      <c r="A13" s="28" t="s">
        <v>1389</v>
      </c>
      <c r="B13" s="58" t="s">
        <v>1390</v>
      </c>
      <c r="C13" s="59" t="n">
        <f aca="false">SUM(E13:P13)</f>
        <v>53616.6666666667</v>
      </c>
      <c r="D13" s="59" t="n">
        <f aca="false">SUM(Q13:AB13)</f>
        <v>67801.8888888889</v>
      </c>
      <c r="E13" s="60" t="n">
        <f aca="false">MIN(E11-E12,E11/(Assumptions!$C$67*12))</f>
        <v>4016.66666666667</v>
      </c>
      <c r="F13" s="60" t="n">
        <f aca="false">MIN(F11-F12,F11/(Assumptions!$C$67*12))</f>
        <v>4055.55555555556</v>
      </c>
      <c r="G13" s="60" t="n">
        <f aca="false">MIN(G11-G12,G11/(Assumptions!$C$67*12))</f>
        <v>4141.66666666667</v>
      </c>
      <c r="H13" s="60" t="n">
        <f aca="false">MIN(H11-H12,H11/(Assumptions!$C$67*12))</f>
        <v>4286.11111111111</v>
      </c>
      <c r="I13" s="60" t="n">
        <f aca="false">MIN(I11-I12,I11/(Assumptions!$C$67*12))</f>
        <v>4311.11111111111</v>
      </c>
      <c r="J13" s="60" t="n">
        <f aca="false">MIN(J11-J12,J11/(Assumptions!$C$67*12))</f>
        <v>4377.77777777778</v>
      </c>
      <c r="K13" s="60" t="n">
        <f aca="false">MIN(K11-K12,K11/(Assumptions!$C$67*12))</f>
        <v>4511.11111111111</v>
      </c>
      <c r="L13" s="60" t="n">
        <f aca="false">MIN(L11-L12,L11/(Assumptions!$C$67*12))</f>
        <v>4555.55555555556</v>
      </c>
      <c r="M13" s="60" t="n">
        <f aca="false">MIN(M11-M12,M11/(Assumptions!$C$67*12))</f>
        <v>4633.33333333333</v>
      </c>
      <c r="N13" s="60" t="n">
        <f aca="false">MIN(N11-N12,N11/(Assumptions!$C$67*12))</f>
        <v>4783.33333333333</v>
      </c>
      <c r="O13" s="60" t="n">
        <f aca="false">MIN(O11-O12,O11/(Assumptions!$C$67*12))</f>
        <v>4933.33333333333</v>
      </c>
      <c r="P13" s="60" t="n">
        <f aca="false">MIN(P11-P12,P11/(Assumptions!$C$67*12))</f>
        <v>5011.11111111111</v>
      </c>
      <c r="Q13" s="60" t="n">
        <f aca="false">MIN(Q11-Q12,Q11/(Assumptions!$C$67*12))</f>
        <v>5124.88888888889</v>
      </c>
      <c r="R13" s="60" t="n">
        <f aca="false">MIN(R11-R12,R11/(Assumptions!$C$67*12))</f>
        <v>5206.16666666667</v>
      </c>
      <c r="S13" s="60" t="n">
        <f aca="false">MIN(S11-S12,S11/(Assumptions!$C$67*12))</f>
        <v>5316.33333333333</v>
      </c>
      <c r="T13" s="60" t="n">
        <f aca="false">MIN(T11-T12,T11/(Assumptions!$C$67*12))</f>
        <v>5469.83333333333</v>
      </c>
      <c r="U13" s="60" t="n">
        <f aca="false">MIN(U11-U12,U11/(Assumptions!$C$67*12))</f>
        <v>5551.11111111111</v>
      </c>
      <c r="V13" s="60" t="n">
        <f aca="false">MIN(V11-V12,V11/(Assumptions!$C$67*12))</f>
        <v>5632.38888888889</v>
      </c>
      <c r="W13" s="60" t="n">
        <f aca="false">MIN(W11-W12,W11/(Assumptions!$C$67*12))</f>
        <v>5713.66666666667</v>
      </c>
      <c r="X13" s="60" t="n">
        <f aca="false">MIN(X11-X12,X11/(Assumptions!$C$67*12))</f>
        <v>5794.94444444444</v>
      </c>
      <c r="Y13" s="60" t="n">
        <f aca="false">MIN(Y11-Y12,Y11/(Assumptions!$C$67*12))</f>
        <v>5876.22222222222</v>
      </c>
      <c r="Z13" s="60" t="n">
        <f aca="false">MIN(Z11-Z12,Z11/(Assumptions!$C$67*12))</f>
        <v>5957.5</v>
      </c>
      <c r="AA13" s="60" t="n">
        <f aca="false">MIN(AA11-AA12,AA11/(Assumptions!$C$67*12))</f>
        <v>6038.77777777778</v>
      </c>
      <c r="AB13" s="60" t="n">
        <f aca="false">MIN(AB11-AB12,AB11/(Assumptions!$C$67*12))</f>
        <v>6120.05555555556</v>
      </c>
    </row>
    <row r="14" customFormat="false" ht="15" hidden="false" customHeight="false" outlineLevel="0" collapsed="false">
      <c r="A14" s="28" t="s">
        <v>1391</v>
      </c>
      <c r="B14" s="58"/>
      <c r="C14" s="59" t="n">
        <f aca="false">P14</f>
        <v>131616.666666667</v>
      </c>
      <c r="D14" s="59" t="n">
        <f aca="false">AB14</f>
        <v>199418.555555556</v>
      </c>
      <c r="E14" s="71" t="n">
        <f aca="false">E12+E13</f>
        <v>82016.6666666667</v>
      </c>
      <c r="F14" s="71" t="n">
        <f aca="false">F12+F13</f>
        <v>86072.2222222222</v>
      </c>
      <c r="G14" s="71" t="n">
        <f aca="false">G12+G13</f>
        <v>90213.8888888889</v>
      </c>
      <c r="H14" s="71" t="n">
        <f aca="false">H12+H13</f>
        <v>94500</v>
      </c>
      <c r="I14" s="71" t="n">
        <f aca="false">I12+I13</f>
        <v>98811.1111111111</v>
      </c>
      <c r="J14" s="71" t="n">
        <f aca="false">J12+J13</f>
        <v>103188.888888889</v>
      </c>
      <c r="K14" s="71" t="n">
        <f aca="false">K12+K13</f>
        <v>107700</v>
      </c>
      <c r="L14" s="71" t="n">
        <f aca="false">L12+L13</f>
        <v>112255.555555556</v>
      </c>
      <c r="M14" s="71" t="n">
        <f aca="false">M12+M13</f>
        <v>116888.888888889</v>
      </c>
      <c r="N14" s="71" t="n">
        <f aca="false">N12+N13</f>
        <v>121672.222222222</v>
      </c>
      <c r="O14" s="71" t="n">
        <f aca="false">O12+O13</f>
        <v>126605.555555556</v>
      </c>
      <c r="P14" s="71" t="n">
        <f aca="false">P12+P13</f>
        <v>131616.666666667</v>
      </c>
      <c r="Q14" s="71" t="n">
        <f aca="false">Q12+Q13</f>
        <v>136741.555555556</v>
      </c>
      <c r="R14" s="71" t="n">
        <f aca="false">R12+R13</f>
        <v>141947.722222222</v>
      </c>
      <c r="S14" s="71" t="n">
        <f aca="false">S12+S13</f>
        <v>147264.055555556</v>
      </c>
      <c r="T14" s="71" t="n">
        <f aca="false">T12+T13</f>
        <v>152733.888888889</v>
      </c>
      <c r="U14" s="71" t="n">
        <f aca="false">U12+U13</f>
        <v>158285</v>
      </c>
      <c r="V14" s="71" t="n">
        <f aca="false">V12+V13</f>
        <v>163917.388888889</v>
      </c>
      <c r="W14" s="71" t="n">
        <f aca="false">W12+W13</f>
        <v>169631.055555556</v>
      </c>
      <c r="X14" s="71" t="n">
        <f aca="false">X12+X13</f>
        <v>175426</v>
      </c>
      <c r="Y14" s="71" t="n">
        <f aca="false">Y12+Y13</f>
        <v>181302.222222222</v>
      </c>
      <c r="Z14" s="71" t="n">
        <f aca="false">Z12+Z13</f>
        <v>187259.722222222</v>
      </c>
      <c r="AA14" s="71" t="n">
        <f aca="false">AA12+AA13</f>
        <v>193298.5</v>
      </c>
      <c r="AB14" s="71" t="n">
        <f aca="false">AB12+AB13</f>
        <v>199418.555555556</v>
      </c>
    </row>
    <row r="15" customFormat="false" ht="15" hidden="false" customHeight="false" outlineLevel="0" collapsed="false">
      <c r="A15" s="68" t="s">
        <v>1392</v>
      </c>
      <c r="B15" s="69"/>
      <c r="C15" s="70" t="n">
        <f aca="false">P15</f>
        <v>48783.3333333333</v>
      </c>
      <c r="D15" s="70" t="n">
        <f aca="false">AB15</f>
        <v>20903.4444444444</v>
      </c>
      <c r="E15" s="70" t="n">
        <f aca="false">E11-E14</f>
        <v>62583.3333333333</v>
      </c>
      <c r="F15" s="70" t="n">
        <f aca="false">F11-F14</f>
        <v>59927.7777777778</v>
      </c>
      <c r="G15" s="70" t="n">
        <f aca="false">G11-G14</f>
        <v>58886.1111111111</v>
      </c>
      <c r="H15" s="70" t="n">
        <f aca="false">H11-H14</f>
        <v>59800</v>
      </c>
      <c r="I15" s="70" t="n">
        <f aca="false">I11-I14</f>
        <v>56388.8888888889</v>
      </c>
      <c r="J15" s="70" t="n">
        <f aca="false">J11-J14</f>
        <v>54411.1111111111</v>
      </c>
      <c r="K15" s="70" t="n">
        <f aca="false">K11-K14</f>
        <v>54700</v>
      </c>
      <c r="L15" s="70" t="n">
        <f aca="false">L11-L14</f>
        <v>51744.4444444444</v>
      </c>
      <c r="M15" s="70" t="n">
        <f aca="false">M11-M14</f>
        <v>49911.1111111111</v>
      </c>
      <c r="N15" s="70" t="n">
        <f aca="false">N11-N14</f>
        <v>50527.7777777778</v>
      </c>
      <c r="O15" s="70" t="n">
        <f aca="false">O11-O14</f>
        <v>50994.4444444444</v>
      </c>
      <c r="P15" s="70" t="n">
        <f aca="false">P11-P14</f>
        <v>48783.3333333333</v>
      </c>
      <c r="Q15" s="70" t="n">
        <f aca="false">Q11-Q14</f>
        <v>47754.4444444444</v>
      </c>
      <c r="R15" s="70" t="n">
        <f aca="false">R11-R14</f>
        <v>45474.2777777778</v>
      </c>
      <c r="S15" s="70" t="n">
        <f aca="false">S11-S14</f>
        <v>44123.9444444444</v>
      </c>
      <c r="T15" s="70" t="n">
        <f aca="false">T11-T14</f>
        <v>44180.1111111111</v>
      </c>
      <c r="U15" s="70" t="n">
        <f aca="false">U11-U14</f>
        <v>41555</v>
      </c>
      <c r="V15" s="70" t="n">
        <f aca="false">V11-V14</f>
        <v>38848.6111111111</v>
      </c>
      <c r="W15" s="70" t="n">
        <f aca="false">W11-W14</f>
        <v>36060.9444444444</v>
      </c>
      <c r="X15" s="70" t="n">
        <f aca="false">X11-X14</f>
        <v>33192</v>
      </c>
      <c r="Y15" s="70" t="n">
        <f aca="false">Y11-Y14</f>
        <v>30241.7777777778</v>
      </c>
      <c r="Z15" s="70" t="n">
        <f aca="false">Z11-Z14</f>
        <v>27210.2777777778</v>
      </c>
      <c r="AA15" s="70" t="n">
        <f aca="false">AA11-AA14</f>
        <v>24097.5</v>
      </c>
      <c r="AB15" s="70" t="n">
        <f aca="false">AB11-AB14</f>
        <v>20903.4444444444</v>
      </c>
    </row>
    <row r="16" customFormat="false" ht="15" hidden="false" customHeight="false" outlineLevel="0" collapsed="false">
      <c r="A16" s="22" t="s">
        <v>1393</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false" outlineLevel="0" collapsed="false">
      <c r="A17" s="28" t="s">
        <v>1384</v>
      </c>
      <c r="B17" s="58"/>
      <c r="E17" s="60" t="n">
        <f aca="false">Inputs_Actuals!$C$183</f>
        <v>118000</v>
      </c>
      <c r="F17" s="71" t="n">
        <f aca="false">E19</f>
        <v>118000</v>
      </c>
      <c r="G17" s="71" t="n">
        <f aca="false">F19</f>
        <v>118000</v>
      </c>
      <c r="H17" s="71" t="n">
        <f aca="false">G19</f>
        <v>118000</v>
      </c>
      <c r="I17" s="71" t="n">
        <f aca="false">H19</f>
        <v>118000</v>
      </c>
      <c r="J17" s="71" t="n">
        <f aca="false">I19</f>
        <v>118000</v>
      </c>
      <c r="K17" s="71" t="n">
        <f aca="false">J19</f>
        <v>118000</v>
      </c>
      <c r="L17" s="71" t="n">
        <f aca="false">K19</f>
        <v>118000</v>
      </c>
      <c r="M17" s="71" t="n">
        <f aca="false">L19</f>
        <v>118000</v>
      </c>
      <c r="N17" s="71" t="n">
        <f aca="false">M19</f>
        <v>118000</v>
      </c>
      <c r="O17" s="71" t="n">
        <f aca="false">N19</f>
        <v>118000</v>
      </c>
      <c r="P17" s="71" t="n">
        <f aca="false">O19</f>
        <v>118000</v>
      </c>
      <c r="Q17" s="71" t="n">
        <f aca="false">P19</f>
        <v>118000</v>
      </c>
      <c r="R17" s="71" t="n">
        <f aca="false">Q19</f>
        <v>118000</v>
      </c>
      <c r="S17" s="71" t="n">
        <f aca="false">R19</f>
        <v>118000</v>
      </c>
      <c r="T17" s="71" t="n">
        <f aca="false">S19</f>
        <v>154000</v>
      </c>
      <c r="U17" s="71" t="n">
        <f aca="false">T19</f>
        <v>154000</v>
      </c>
      <c r="V17" s="71" t="n">
        <f aca="false">U19</f>
        <v>154000</v>
      </c>
      <c r="W17" s="71" t="n">
        <f aca="false">V19</f>
        <v>154000</v>
      </c>
      <c r="X17" s="71" t="n">
        <f aca="false">W19</f>
        <v>154000</v>
      </c>
      <c r="Y17" s="71" t="n">
        <f aca="false">X19</f>
        <v>154000</v>
      </c>
      <c r="Z17" s="71" t="n">
        <f aca="false">Y19</f>
        <v>154000</v>
      </c>
      <c r="AA17" s="71" t="n">
        <f aca="false">Z19</f>
        <v>154000</v>
      </c>
      <c r="AB17" s="71" t="n">
        <f aca="false">AA19</f>
        <v>154000</v>
      </c>
    </row>
    <row r="18" customFormat="false" ht="15" hidden="false" customHeight="false" outlineLevel="0" collapsed="false">
      <c r="A18" s="28" t="s">
        <v>1385</v>
      </c>
      <c r="B18" s="58" t="s">
        <v>1386</v>
      </c>
      <c r="C18" s="59" t="n">
        <f aca="false">SUM(E18:P18)</f>
        <v>0</v>
      </c>
      <c r="D18" s="59" t="n">
        <f aca="false">SUM(Q18:AB18)</f>
        <v>36000</v>
      </c>
      <c r="E18" s="60" t="n">
        <f aca="false">IF(E$5="A",Inputs_Actuals!E170,IF(Assumptions!E$98=Assumptions!$C$66,Assumptions!$C$65,0))</f>
        <v>0</v>
      </c>
      <c r="F18" s="60" t="n">
        <f aca="false">IF(F$5="A",Inputs_Actuals!F170,IF(Assumptions!F$98=Assumptions!$C$66,Assumptions!$C$65,0))</f>
        <v>0</v>
      </c>
      <c r="G18" s="60" t="n">
        <f aca="false">IF(G$5="A",Inputs_Actuals!G170,IF(Assumptions!G$98=Assumptions!$C$66,Assumptions!$C$65,0))</f>
        <v>0</v>
      </c>
      <c r="H18" s="60" t="n">
        <f aca="false">IF(H$5="A",Inputs_Actuals!H170,IF(Assumptions!H$98=Assumptions!$C$66,Assumptions!$C$65,0))</f>
        <v>0</v>
      </c>
      <c r="I18" s="60" t="n">
        <f aca="false">IF(I$5="A",Inputs_Actuals!I170,IF(Assumptions!I$98=Assumptions!$C$66,Assumptions!$C$65,0))</f>
        <v>0</v>
      </c>
      <c r="J18" s="60" t="n">
        <f aca="false">IF(J$5="A",Inputs_Actuals!J170,IF(Assumptions!J$98=Assumptions!$C$66,Assumptions!$C$65,0))</f>
        <v>0</v>
      </c>
      <c r="K18" s="60" t="n">
        <f aca="false">IF(K$5="A",Inputs_Actuals!K170,IF(Assumptions!K$98=Assumptions!$C$66,Assumptions!$C$65,0))</f>
        <v>0</v>
      </c>
      <c r="L18" s="60" t="n">
        <f aca="false">IF(L$5="A",Inputs_Actuals!L170,IF(Assumptions!L$98=Assumptions!$C$66,Assumptions!$C$65,0))</f>
        <v>0</v>
      </c>
      <c r="M18" s="60" t="n">
        <f aca="false">IF(M$5="A",Inputs_Actuals!M170,IF(Assumptions!M$98=Assumptions!$C$66,Assumptions!$C$65,0))</f>
        <v>0</v>
      </c>
      <c r="N18" s="60" t="n">
        <f aca="false">IF(N$5="A",Inputs_Actuals!N170,IF(Assumptions!N$98=Assumptions!$C$66,Assumptions!$C$65,0))</f>
        <v>0</v>
      </c>
      <c r="O18" s="60" t="n">
        <f aca="false">IF(O$5="A",Inputs_Actuals!O170,IF(Assumptions!O$98=Assumptions!$C$66,Assumptions!$C$65,0))</f>
        <v>0</v>
      </c>
      <c r="P18" s="60" t="n">
        <f aca="false">IF(P$5="A",Inputs_Actuals!P170,IF(Assumptions!P$98=Assumptions!$C$66,Assumptions!$C$65,0))</f>
        <v>0</v>
      </c>
      <c r="Q18" s="60" t="n">
        <f aca="false">IF(Q$5="A",Inputs_Actuals!Q170,IF(Assumptions!Q$98=Assumptions!$C$66,Assumptions!$C$65,0))</f>
        <v>0</v>
      </c>
      <c r="R18" s="60" t="n">
        <f aca="false">IF(R$5="A",Inputs_Actuals!R170,IF(Assumptions!R$98=Assumptions!$C$66,Assumptions!$C$65,0))</f>
        <v>0</v>
      </c>
      <c r="S18" s="60" t="n">
        <f aca="false">IF(S$5="A",Inputs_Actuals!S170,IF(Assumptions!S$98=Assumptions!$C$66,Assumptions!$C$65,0))</f>
        <v>36000</v>
      </c>
      <c r="T18" s="60" t="n">
        <f aca="false">IF(T$5="A",Inputs_Actuals!T170,IF(Assumptions!T$98=Assumptions!$C$66,Assumptions!$C$65,0))</f>
        <v>0</v>
      </c>
      <c r="U18" s="60" t="n">
        <f aca="false">IF(U$5="A",Inputs_Actuals!U170,IF(Assumptions!U$98=Assumptions!$C$66,Assumptions!$C$65,0))</f>
        <v>0</v>
      </c>
      <c r="V18" s="60" t="n">
        <f aca="false">IF(V$5="A",Inputs_Actuals!V170,IF(Assumptions!V$98=Assumptions!$C$66,Assumptions!$C$65,0))</f>
        <v>0</v>
      </c>
      <c r="W18" s="60" t="n">
        <f aca="false">IF(W$5="A",Inputs_Actuals!W170,IF(Assumptions!W$98=Assumptions!$C$66,Assumptions!$C$65,0))</f>
        <v>0</v>
      </c>
      <c r="X18" s="60" t="n">
        <f aca="false">IF(X$5="A",Inputs_Actuals!X170,IF(Assumptions!X$98=Assumptions!$C$66,Assumptions!$C$65,0))</f>
        <v>0</v>
      </c>
      <c r="Y18" s="60" t="n">
        <f aca="false">IF(Y$5="A",Inputs_Actuals!Y170,IF(Assumptions!Y$98=Assumptions!$C$66,Assumptions!$C$65,0))</f>
        <v>0</v>
      </c>
      <c r="Z18" s="60" t="n">
        <f aca="false">IF(Z$5="A",Inputs_Actuals!Z170,IF(Assumptions!Z$98=Assumptions!$C$66,Assumptions!$C$65,0))</f>
        <v>0</v>
      </c>
      <c r="AA18" s="60" t="n">
        <f aca="false">IF(AA$5="A",Inputs_Actuals!AA170,IF(Assumptions!AA$98=Assumptions!$C$66,Assumptions!$C$65,0))</f>
        <v>0</v>
      </c>
      <c r="AB18" s="60" t="n">
        <f aca="false">IF(AB$5="A",Inputs_Actuals!AB170,IF(Assumptions!AB$98=Assumptions!$C$66,Assumptions!$C$65,0))</f>
        <v>0</v>
      </c>
    </row>
    <row r="19" customFormat="false" ht="15" hidden="false" customHeight="false" outlineLevel="0" collapsed="false">
      <c r="A19" s="28" t="s">
        <v>1387</v>
      </c>
      <c r="B19" s="58"/>
      <c r="C19" s="59" t="n">
        <f aca="false">P19</f>
        <v>118000</v>
      </c>
      <c r="D19" s="59" t="n">
        <f aca="false">AB19</f>
        <v>154000</v>
      </c>
      <c r="E19" s="71" t="n">
        <f aca="false">E17+E18</f>
        <v>118000</v>
      </c>
      <c r="F19" s="71" t="n">
        <f aca="false">F17+F18</f>
        <v>118000</v>
      </c>
      <c r="G19" s="71" t="n">
        <f aca="false">G17+G18</f>
        <v>118000</v>
      </c>
      <c r="H19" s="71" t="n">
        <f aca="false">H17+H18</f>
        <v>118000</v>
      </c>
      <c r="I19" s="71" t="n">
        <f aca="false">I17+I18</f>
        <v>118000</v>
      </c>
      <c r="J19" s="71" t="n">
        <f aca="false">J17+J18</f>
        <v>118000</v>
      </c>
      <c r="K19" s="71" t="n">
        <f aca="false">K17+K18</f>
        <v>118000</v>
      </c>
      <c r="L19" s="71" t="n">
        <f aca="false">L17+L18</f>
        <v>118000</v>
      </c>
      <c r="M19" s="71" t="n">
        <f aca="false">M17+M18</f>
        <v>118000</v>
      </c>
      <c r="N19" s="71" t="n">
        <f aca="false">N17+N18</f>
        <v>118000</v>
      </c>
      <c r="O19" s="71" t="n">
        <f aca="false">O17+O18</f>
        <v>118000</v>
      </c>
      <c r="P19" s="71" t="n">
        <f aca="false">P17+P18</f>
        <v>118000</v>
      </c>
      <c r="Q19" s="71" t="n">
        <f aca="false">Q17+Q18</f>
        <v>118000</v>
      </c>
      <c r="R19" s="71" t="n">
        <f aca="false">R17+R18</f>
        <v>118000</v>
      </c>
      <c r="S19" s="71" t="n">
        <f aca="false">S17+S18</f>
        <v>154000</v>
      </c>
      <c r="T19" s="71" t="n">
        <f aca="false">T17+T18</f>
        <v>154000</v>
      </c>
      <c r="U19" s="71" t="n">
        <f aca="false">U17+U18</f>
        <v>154000</v>
      </c>
      <c r="V19" s="71" t="n">
        <f aca="false">V17+V18</f>
        <v>154000</v>
      </c>
      <c r="W19" s="71" t="n">
        <f aca="false">W17+W18</f>
        <v>154000</v>
      </c>
      <c r="X19" s="71" t="n">
        <f aca="false">X17+X18</f>
        <v>154000</v>
      </c>
      <c r="Y19" s="71" t="n">
        <f aca="false">Y17+Y18</f>
        <v>154000</v>
      </c>
      <c r="Z19" s="71" t="n">
        <f aca="false">Z17+Z18</f>
        <v>154000</v>
      </c>
      <c r="AA19" s="71" t="n">
        <f aca="false">AA17+AA18</f>
        <v>154000</v>
      </c>
      <c r="AB19" s="71" t="n">
        <f aca="false">AB17+AB18</f>
        <v>154000</v>
      </c>
    </row>
    <row r="20" customFormat="false" ht="15" hidden="false" customHeight="false" outlineLevel="0" collapsed="false">
      <c r="A20" s="28" t="s">
        <v>1388</v>
      </c>
      <c r="B20" s="58"/>
      <c r="E20" s="60" t="n">
        <f aca="false">Inputs_Actuals!$C$184</f>
        <v>41000</v>
      </c>
      <c r="F20" s="71" t="n">
        <f aca="false">E22</f>
        <v>42966.6666666667</v>
      </c>
      <c r="G20" s="71" t="n">
        <f aca="false">F22</f>
        <v>44933.3333333333</v>
      </c>
      <c r="H20" s="71" t="n">
        <f aca="false">G22</f>
        <v>46900</v>
      </c>
      <c r="I20" s="71" t="n">
        <f aca="false">H22</f>
        <v>48866.6666666667</v>
      </c>
      <c r="J20" s="71" t="n">
        <f aca="false">I22</f>
        <v>50833.3333333333</v>
      </c>
      <c r="K20" s="71" t="n">
        <f aca="false">J22</f>
        <v>52800</v>
      </c>
      <c r="L20" s="71" t="n">
        <f aca="false">K22</f>
        <v>54766.6666666667</v>
      </c>
      <c r="M20" s="71" t="n">
        <f aca="false">L22</f>
        <v>56733.3333333333</v>
      </c>
      <c r="N20" s="71" t="n">
        <f aca="false">M22</f>
        <v>58700</v>
      </c>
      <c r="O20" s="71" t="n">
        <f aca="false">N22</f>
        <v>60666.6666666666</v>
      </c>
      <c r="P20" s="71" t="n">
        <f aca="false">O22</f>
        <v>62633.3333333333</v>
      </c>
      <c r="Q20" s="71" t="n">
        <f aca="false">P22</f>
        <v>64600</v>
      </c>
      <c r="R20" s="71" t="n">
        <f aca="false">Q22</f>
        <v>66566.6666666666</v>
      </c>
      <c r="S20" s="71" t="n">
        <f aca="false">R22</f>
        <v>68533.3333333333</v>
      </c>
      <c r="T20" s="71" t="n">
        <f aca="false">S22</f>
        <v>71100</v>
      </c>
      <c r="U20" s="71" t="n">
        <f aca="false">T22</f>
        <v>73666.6666666667</v>
      </c>
      <c r="V20" s="71" t="n">
        <f aca="false">U22</f>
        <v>76233.3333333333</v>
      </c>
      <c r="W20" s="71" t="n">
        <f aca="false">V22</f>
        <v>78800</v>
      </c>
      <c r="X20" s="71" t="n">
        <f aca="false">W22</f>
        <v>81366.6666666667</v>
      </c>
      <c r="Y20" s="71" t="n">
        <f aca="false">X22</f>
        <v>83933.3333333333</v>
      </c>
      <c r="Z20" s="71" t="n">
        <f aca="false">Y22</f>
        <v>86500</v>
      </c>
      <c r="AA20" s="71" t="n">
        <f aca="false">Z22</f>
        <v>89066.6666666667</v>
      </c>
      <c r="AB20" s="71" t="n">
        <f aca="false">AA22</f>
        <v>91633.3333333334</v>
      </c>
    </row>
    <row r="21" customFormat="false" ht="15" hidden="false" customHeight="false" outlineLevel="0" collapsed="false">
      <c r="A21" s="28" t="s">
        <v>1389</v>
      </c>
      <c r="B21" s="58" t="s">
        <v>1390</v>
      </c>
      <c r="C21" s="59" t="n">
        <f aca="false">SUM(E21:P21)</f>
        <v>23600</v>
      </c>
      <c r="D21" s="59" t="n">
        <f aca="false">SUM(Q21:AB21)</f>
        <v>29600</v>
      </c>
      <c r="E21" s="60" t="n">
        <f aca="false">MIN(E19-E20,E19/(Assumptions!$C$68*12))</f>
        <v>1966.66666666667</v>
      </c>
      <c r="F21" s="60" t="n">
        <f aca="false">MIN(F19-F20,F19/(Assumptions!$C$68*12))</f>
        <v>1966.66666666667</v>
      </c>
      <c r="G21" s="60" t="n">
        <f aca="false">MIN(G19-G20,G19/(Assumptions!$C$68*12))</f>
        <v>1966.66666666667</v>
      </c>
      <c r="H21" s="60" t="n">
        <f aca="false">MIN(H19-H20,H19/(Assumptions!$C$68*12))</f>
        <v>1966.66666666667</v>
      </c>
      <c r="I21" s="60" t="n">
        <f aca="false">MIN(I19-I20,I19/(Assumptions!$C$68*12))</f>
        <v>1966.66666666667</v>
      </c>
      <c r="J21" s="60" t="n">
        <f aca="false">MIN(J19-J20,J19/(Assumptions!$C$68*12))</f>
        <v>1966.66666666667</v>
      </c>
      <c r="K21" s="60" t="n">
        <f aca="false">MIN(K19-K20,K19/(Assumptions!$C$68*12))</f>
        <v>1966.66666666667</v>
      </c>
      <c r="L21" s="60" t="n">
        <f aca="false">MIN(L19-L20,L19/(Assumptions!$C$68*12))</f>
        <v>1966.66666666667</v>
      </c>
      <c r="M21" s="60" t="n">
        <f aca="false">MIN(M19-M20,M19/(Assumptions!$C$68*12))</f>
        <v>1966.66666666667</v>
      </c>
      <c r="N21" s="60" t="n">
        <f aca="false">MIN(N19-N20,N19/(Assumptions!$C$68*12))</f>
        <v>1966.66666666667</v>
      </c>
      <c r="O21" s="60" t="n">
        <f aca="false">MIN(O19-O20,O19/(Assumptions!$C$68*12))</f>
        <v>1966.66666666667</v>
      </c>
      <c r="P21" s="60" t="n">
        <f aca="false">MIN(P19-P20,P19/(Assumptions!$C$68*12))</f>
        <v>1966.66666666667</v>
      </c>
      <c r="Q21" s="60" t="n">
        <f aca="false">MIN(Q19-Q20,Q19/(Assumptions!$C$68*12))</f>
        <v>1966.66666666667</v>
      </c>
      <c r="R21" s="60" t="n">
        <f aca="false">MIN(R19-R20,R19/(Assumptions!$C$68*12))</f>
        <v>1966.66666666667</v>
      </c>
      <c r="S21" s="60" t="n">
        <f aca="false">MIN(S19-S20,S19/(Assumptions!$C$68*12))</f>
        <v>2566.66666666667</v>
      </c>
      <c r="T21" s="60" t="n">
        <f aca="false">MIN(T19-T20,T19/(Assumptions!$C$68*12))</f>
        <v>2566.66666666667</v>
      </c>
      <c r="U21" s="60" t="n">
        <f aca="false">MIN(U19-U20,U19/(Assumptions!$C$68*12))</f>
        <v>2566.66666666667</v>
      </c>
      <c r="V21" s="60" t="n">
        <f aca="false">MIN(V19-V20,V19/(Assumptions!$C$68*12))</f>
        <v>2566.66666666667</v>
      </c>
      <c r="W21" s="60" t="n">
        <f aca="false">MIN(W19-W20,W19/(Assumptions!$C$68*12))</f>
        <v>2566.66666666667</v>
      </c>
      <c r="X21" s="60" t="n">
        <f aca="false">MIN(X19-X20,X19/(Assumptions!$C$68*12))</f>
        <v>2566.66666666667</v>
      </c>
      <c r="Y21" s="60" t="n">
        <f aca="false">MIN(Y19-Y20,Y19/(Assumptions!$C$68*12))</f>
        <v>2566.66666666667</v>
      </c>
      <c r="Z21" s="60" t="n">
        <f aca="false">MIN(Z19-Z20,Z19/(Assumptions!$C$68*12))</f>
        <v>2566.66666666667</v>
      </c>
      <c r="AA21" s="60" t="n">
        <f aca="false">MIN(AA19-AA20,AA19/(Assumptions!$C$68*12))</f>
        <v>2566.66666666667</v>
      </c>
      <c r="AB21" s="60" t="n">
        <f aca="false">MIN(AB19-AB20,AB19/(Assumptions!$C$68*12))</f>
        <v>2566.66666666667</v>
      </c>
    </row>
    <row r="22" customFormat="false" ht="15" hidden="false" customHeight="false" outlineLevel="0" collapsed="false">
      <c r="A22" s="28" t="s">
        <v>1391</v>
      </c>
      <c r="B22" s="58"/>
      <c r="C22" s="59" t="n">
        <f aca="false">P22</f>
        <v>64600</v>
      </c>
      <c r="D22" s="59" t="n">
        <f aca="false">AB22</f>
        <v>94200</v>
      </c>
      <c r="E22" s="71" t="n">
        <f aca="false">E20+E21</f>
        <v>42966.6666666667</v>
      </c>
      <c r="F22" s="71" t="n">
        <f aca="false">F20+F21</f>
        <v>44933.3333333333</v>
      </c>
      <c r="G22" s="71" t="n">
        <f aca="false">G20+G21</f>
        <v>46900</v>
      </c>
      <c r="H22" s="71" t="n">
        <f aca="false">H20+H21</f>
        <v>48866.6666666667</v>
      </c>
      <c r="I22" s="71" t="n">
        <f aca="false">I20+I21</f>
        <v>50833.3333333333</v>
      </c>
      <c r="J22" s="71" t="n">
        <f aca="false">J20+J21</f>
        <v>52800</v>
      </c>
      <c r="K22" s="71" t="n">
        <f aca="false">K20+K21</f>
        <v>54766.6666666667</v>
      </c>
      <c r="L22" s="71" t="n">
        <f aca="false">L20+L21</f>
        <v>56733.3333333333</v>
      </c>
      <c r="M22" s="71" t="n">
        <f aca="false">M20+M21</f>
        <v>58700</v>
      </c>
      <c r="N22" s="71" t="n">
        <f aca="false">N20+N21</f>
        <v>60666.6666666666</v>
      </c>
      <c r="O22" s="71" t="n">
        <f aca="false">O20+O21</f>
        <v>62633.3333333333</v>
      </c>
      <c r="P22" s="71" t="n">
        <f aca="false">P20+P21</f>
        <v>64600</v>
      </c>
      <c r="Q22" s="71" t="n">
        <f aca="false">Q20+Q21</f>
        <v>66566.6666666666</v>
      </c>
      <c r="R22" s="71" t="n">
        <f aca="false">R20+R21</f>
        <v>68533.3333333333</v>
      </c>
      <c r="S22" s="71" t="n">
        <f aca="false">S20+S21</f>
        <v>71100</v>
      </c>
      <c r="T22" s="71" t="n">
        <f aca="false">T20+T21</f>
        <v>73666.6666666667</v>
      </c>
      <c r="U22" s="71" t="n">
        <f aca="false">U20+U21</f>
        <v>76233.3333333333</v>
      </c>
      <c r="V22" s="71" t="n">
        <f aca="false">V20+V21</f>
        <v>78800</v>
      </c>
      <c r="W22" s="71" t="n">
        <f aca="false">W20+W21</f>
        <v>81366.6666666667</v>
      </c>
      <c r="X22" s="71" t="n">
        <f aca="false">X20+X21</f>
        <v>83933.3333333333</v>
      </c>
      <c r="Y22" s="71" t="n">
        <f aca="false">Y20+Y21</f>
        <v>86500</v>
      </c>
      <c r="Z22" s="71" t="n">
        <f aca="false">Z20+Z21</f>
        <v>89066.6666666667</v>
      </c>
      <c r="AA22" s="71" t="n">
        <f aca="false">AA20+AA21</f>
        <v>91633.3333333334</v>
      </c>
      <c r="AB22" s="71" t="n">
        <f aca="false">AB20+AB21</f>
        <v>94200</v>
      </c>
    </row>
    <row r="23" customFormat="false" ht="15" hidden="false" customHeight="false" outlineLevel="0" collapsed="false">
      <c r="A23" s="68" t="s">
        <v>1392</v>
      </c>
      <c r="B23" s="69"/>
      <c r="C23" s="70" t="n">
        <f aca="false">P23</f>
        <v>53400</v>
      </c>
      <c r="D23" s="70" t="n">
        <f aca="false">AB23</f>
        <v>59800</v>
      </c>
      <c r="E23" s="70" t="n">
        <f aca="false">E19-E22</f>
        <v>75033.3333333333</v>
      </c>
      <c r="F23" s="70" t="n">
        <f aca="false">F19-F22</f>
        <v>73066.6666666667</v>
      </c>
      <c r="G23" s="70" t="n">
        <f aca="false">G19-G22</f>
        <v>71100</v>
      </c>
      <c r="H23" s="70" t="n">
        <f aca="false">H19-H22</f>
        <v>69133.3333333333</v>
      </c>
      <c r="I23" s="70" t="n">
        <f aca="false">I19-I22</f>
        <v>67166.6666666667</v>
      </c>
      <c r="J23" s="70" t="n">
        <f aca="false">J19-J22</f>
        <v>65200</v>
      </c>
      <c r="K23" s="70" t="n">
        <f aca="false">K19-K22</f>
        <v>63233.3333333334</v>
      </c>
      <c r="L23" s="70" t="n">
        <f aca="false">L19-L22</f>
        <v>61266.6666666667</v>
      </c>
      <c r="M23" s="70" t="n">
        <f aca="false">M19-M22</f>
        <v>59300</v>
      </c>
      <c r="N23" s="70" t="n">
        <f aca="false">N19-N22</f>
        <v>57333.3333333334</v>
      </c>
      <c r="O23" s="70" t="n">
        <f aca="false">O19-O22</f>
        <v>55366.6666666667</v>
      </c>
      <c r="P23" s="70" t="n">
        <f aca="false">P19-P22</f>
        <v>53400</v>
      </c>
      <c r="Q23" s="70" t="n">
        <f aca="false">Q19-Q22</f>
        <v>51433.3333333334</v>
      </c>
      <c r="R23" s="70" t="n">
        <f aca="false">R19-R22</f>
        <v>49466.6666666667</v>
      </c>
      <c r="S23" s="70" t="n">
        <f aca="false">S19-S22</f>
        <v>82900</v>
      </c>
      <c r="T23" s="70" t="n">
        <f aca="false">T19-T22</f>
        <v>80333.3333333333</v>
      </c>
      <c r="U23" s="70" t="n">
        <f aca="false">U19-U22</f>
        <v>77766.6666666667</v>
      </c>
      <c r="V23" s="70" t="n">
        <f aca="false">V19-V22</f>
        <v>75200</v>
      </c>
      <c r="W23" s="70" t="n">
        <f aca="false">W19-W22</f>
        <v>72633.3333333333</v>
      </c>
      <c r="X23" s="70" t="n">
        <f aca="false">X19-X22</f>
        <v>70066.6666666667</v>
      </c>
      <c r="Y23" s="70" t="n">
        <f aca="false">Y19-Y22</f>
        <v>67500</v>
      </c>
      <c r="Z23" s="70" t="n">
        <f aca="false">Z19-Z22</f>
        <v>64933.3333333333</v>
      </c>
      <c r="AA23" s="70" t="n">
        <f aca="false">AA19-AA22</f>
        <v>62366.6666666666</v>
      </c>
      <c r="AB23" s="70" t="n">
        <f aca="false">AB19-AB22</f>
        <v>59800</v>
      </c>
    </row>
    <row r="24" customFormat="false" ht="15" hidden="false" customHeight="false" outlineLevel="0" collapsed="false">
      <c r="A24" s="22" t="s">
        <v>499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row>
    <row r="25" customFormat="false" ht="15" hidden="false" customHeight="false" outlineLevel="0" collapsed="false">
      <c r="A25" s="28" t="s">
        <v>1358</v>
      </c>
      <c r="B25" s="58"/>
      <c r="C25" s="59" t="n">
        <f aca="false">SUM(E25:P25)</f>
        <v>38400</v>
      </c>
      <c r="D25" s="59" t="n">
        <f aca="false">SUM(Q25:AB25)</f>
        <v>75922</v>
      </c>
      <c r="E25" s="71" t="n">
        <f aca="false">E10+E18</f>
        <v>2600</v>
      </c>
      <c r="F25" s="71" t="n">
        <f aca="false">F10+F18</f>
        <v>1400</v>
      </c>
      <c r="G25" s="71" t="n">
        <f aca="false">G10+G18</f>
        <v>3100</v>
      </c>
      <c r="H25" s="71" t="n">
        <f aca="false">H10+H18</f>
        <v>5200</v>
      </c>
      <c r="I25" s="71" t="n">
        <f aca="false">I10+I18</f>
        <v>900</v>
      </c>
      <c r="J25" s="71" t="n">
        <f aca="false">J10+J18</f>
        <v>2400</v>
      </c>
      <c r="K25" s="71" t="n">
        <f aca="false">K10+K18</f>
        <v>4800</v>
      </c>
      <c r="L25" s="71" t="n">
        <f aca="false">L10+L18</f>
        <v>1600</v>
      </c>
      <c r="M25" s="71" t="n">
        <f aca="false">M10+M18</f>
        <v>2800</v>
      </c>
      <c r="N25" s="71" t="n">
        <f aca="false">N10+N18</f>
        <v>5400</v>
      </c>
      <c r="O25" s="71" t="n">
        <f aca="false">O10+O18</f>
        <v>5400</v>
      </c>
      <c r="P25" s="71" t="n">
        <f aca="false">P10+P18</f>
        <v>2800</v>
      </c>
      <c r="Q25" s="71" t="n">
        <f aca="false">Q10+Q18</f>
        <v>4096</v>
      </c>
      <c r="R25" s="71" t="n">
        <f aca="false">R10+R18</f>
        <v>2926</v>
      </c>
      <c r="S25" s="71" t="n">
        <f aca="false">S10+S18</f>
        <v>39966</v>
      </c>
      <c r="T25" s="71" t="n">
        <f aca="false">T10+T18</f>
        <v>5526</v>
      </c>
      <c r="U25" s="71" t="n">
        <f aca="false">U10+U18</f>
        <v>2926</v>
      </c>
      <c r="V25" s="71" t="n">
        <f aca="false">V10+V18</f>
        <v>2926</v>
      </c>
      <c r="W25" s="71" t="n">
        <f aca="false">W10+W18</f>
        <v>2926</v>
      </c>
      <c r="X25" s="71" t="n">
        <f aca="false">X10+X18</f>
        <v>2926</v>
      </c>
      <c r="Y25" s="71" t="n">
        <f aca="false">Y10+Y18</f>
        <v>2926</v>
      </c>
      <c r="Z25" s="71" t="n">
        <f aca="false">Z10+Z18</f>
        <v>2926</v>
      </c>
      <c r="AA25" s="71" t="n">
        <f aca="false">AA10+AA18</f>
        <v>2926</v>
      </c>
      <c r="AB25" s="71" t="n">
        <f aca="false">AB10+AB18</f>
        <v>2926</v>
      </c>
    </row>
    <row r="26" customFormat="false" ht="15" hidden="false" customHeight="false" outlineLevel="0" collapsed="false">
      <c r="A26" s="28" t="s">
        <v>365</v>
      </c>
      <c r="B26" s="58"/>
      <c r="C26" s="59" t="n">
        <f aca="false">SUM(E26:P26)</f>
        <v>77216.6666666667</v>
      </c>
      <c r="D26" s="59" t="n">
        <f aca="false">SUM(Q26:AB26)</f>
        <v>97401.8888888889</v>
      </c>
      <c r="E26" s="71" t="n">
        <f aca="false">E13+E21</f>
        <v>5983.33333333333</v>
      </c>
      <c r="F26" s="71" t="n">
        <f aca="false">F13+F21</f>
        <v>6022.22222222222</v>
      </c>
      <c r="G26" s="71" t="n">
        <f aca="false">G13+G21</f>
        <v>6108.33333333333</v>
      </c>
      <c r="H26" s="71" t="n">
        <f aca="false">H13+H21</f>
        <v>6252.77777777778</v>
      </c>
      <c r="I26" s="71" t="n">
        <f aca="false">I13+I21</f>
        <v>6277.77777777778</v>
      </c>
      <c r="J26" s="71" t="n">
        <f aca="false">J13+J21</f>
        <v>6344.44444444444</v>
      </c>
      <c r="K26" s="71" t="n">
        <f aca="false">K13+K21</f>
        <v>6477.77777777778</v>
      </c>
      <c r="L26" s="71" t="n">
        <f aca="false">L13+L21</f>
        <v>6522.22222222222</v>
      </c>
      <c r="M26" s="71" t="n">
        <f aca="false">M13+M21</f>
        <v>6600</v>
      </c>
      <c r="N26" s="71" t="n">
        <f aca="false">N13+N21</f>
        <v>6750</v>
      </c>
      <c r="O26" s="71" t="n">
        <f aca="false">O13+O21</f>
        <v>6900</v>
      </c>
      <c r="P26" s="71" t="n">
        <f aca="false">P13+P21</f>
        <v>6977.77777777778</v>
      </c>
      <c r="Q26" s="71" t="n">
        <f aca="false">Q13+Q21</f>
        <v>7091.55555555556</v>
      </c>
      <c r="R26" s="71" t="n">
        <f aca="false">R13+R21</f>
        <v>7172.83333333333</v>
      </c>
      <c r="S26" s="71" t="n">
        <f aca="false">S13+S21</f>
        <v>7883</v>
      </c>
      <c r="T26" s="71" t="n">
        <f aca="false">T13+T21</f>
        <v>8036.5</v>
      </c>
      <c r="U26" s="71" t="n">
        <f aca="false">U13+U21</f>
        <v>8117.77777777778</v>
      </c>
      <c r="V26" s="71" t="n">
        <f aca="false">V13+V21</f>
        <v>8199.05555555556</v>
      </c>
      <c r="W26" s="71" t="n">
        <f aca="false">W13+W21</f>
        <v>8280.33333333333</v>
      </c>
      <c r="X26" s="71" t="n">
        <f aca="false">X13+X21</f>
        <v>8361.61111111111</v>
      </c>
      <c r="Y26" s="71" t="n">
        <f aca="false">Y13+Y21</f>
        <v>8442.88888888889</v>
      </c>
      <c r="Z26" s="71" t="n">
        <f aca="false">Z13+Z21</f>
        <v>8524.16666666667</v>
      </c>
      <c r="AA26" s="71" t="n">
        <f aca="false">AA13+AA21</f>
        <v>8605.44444444444</v>
      </c>
      <c r="AB26" s="71" t="n">
        <f aca="false">AB13+AB21</f>
        <v>8686.72222222222</v>
      </c>
    </row>
    <row r="27" customFormat="false" ht="15" hidden="false" customHeight="false" outlineLevel="0" collapsed="false">
      <c r="A27" s="68" t="s">
        <v>1394</v>
      </c>
      <c r="B27" s="69"/>
      <c r="C27" s="70" t="n">
        <f aca="false">P27</f>
        <v>102183.333333333</v>
      </c>
      <c r="D27" s="70" t="n">
        <f aca="false">AB27</f>
        <v>80703.4444444444</v>
      </c>
      <c r="E27" s="70" t="n">
        <f aca="false">E15+E23</f>
        <v>137616.666666667</v>
      </c>
      <c r="F27" s="70" t="n">
        <f aca="false">F15+F23</f>
        <v>132994.444444444</v>
      </c>
      <c r="G27" s="70" t="n">
        <f aca="false">G15+G23</f>
        <v>129986.111111111</v>
      </c>
      <c r="H27" s="70" t="n">
        <f aca="false">H15+H23</f>
        <v>128933.333333333</v>
      </c>
      <c r="I27" s="70" t="n">
        <f aca="false">I15+I23</f>
        <v>123555.555555556</v>
      </c>
      <c r="J27" s="70" t="n">
        <f aca="false">J15+J23</f>
        <v>119611.111111111</v>
      </c>
      <c r="K27" s="70" t="n">
        <f aca="false">K15+K23</f>
        <v>117933.333333333</v>
      </c>
      <c r="L27" s="70" t="n">
        <f aca="false">L15+L23</f>
        <v>113011.111111111</v>
      </c>
      <c r="M27" s="70" t="n">
        <f aca="false">M15+M23</f>
        <v>109211.111111111</v>
      </c>
      <c r="N27" s="70" t="n">
        <f aca="false">N15+N23</f>
        <v>107861.111111111</v>
      </c>
      <c r="O27" s="70" t="n">
        <f aca="false">O15+O23</f>
        <v>106361.111111111</v>
      </c>
      <c r="P27" s="70" t="n">
        <f aca="false">P15+P23</f>
        <v>102183.333333333</v>
      </c>
      <c r="Q27" s="70" t="n">
        <f aca="false">Q15+Q23</f>
        <v>99187.7777777778</v>
      </c>
      <c r="R27" s="70" t="n">
        <f aca="false">R15+R23</f>
        <v>94940.9444444445</v>
      </c>
      <c r="S27" s="70" t="n">
        <f aca="false">S15+S23</f>
        <v>127023.944444444</v>
      </c>
      <c r="T27" s="70" t="n">
        <f aca="false">T15+T23</f>
        <v>124513.444444444</v>
      </c>
      <c r="U27" s="70" t="n">
        <f aca="false">U15+U23</f>
        <v>119321.666666667</v>
      </c>
      <c r="V27" s="70" t="n">
        <f aca="false">V15+V23</f>
        <v>114048.611111111</v>
      </c>
      <c r="W27" s="70" t="n">
        <f aca="false">W15+W23</f>
        <v>108694.277777778</v>
      </c>
      <c r="X27" s="70" t="n">
        <f aca="false">X15+X23</f>
        <v>103258.666666667</v>
      </c>
      <c r="Y27" s="70" t="n">
        <f aca="false">Y15+Y23</f>
        <v>97741.7777777778</v>
      </c>
      <c r="Z27" s="70" t="n">
        <f aca="false">Z15+Z23</f>
        <v>92143.6111111111</v>
      </c>
      <c r="AA27" s="70" t="n">
        <f aca="false">AA15+AA23</f>
        <v>86464.1666666666</v>
      </c>
      <c r="AB27" s="70" t="n">
        <f aca="false">AB15+AB23</f>
        <v>80703.4444444444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1395</v>
      </c>
    </row>
    <row r="3" customFormat="false" ht="15" hidden="false" customHeight="false" outlineLevel="0" collapsed="false">
      <c r="A3" s="49" t="s">
        <v>1396</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1397</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1339</v>
      </c>
      <c r="B9" s="58"/>
      <c r="E9" s="60" t="n">
        <f aca="false">Inputs_Actuals!$C$192</f>
        <v>108000</v>
      </c>
      <c r="F9" s="71" t="n">
        <f aca="false">E11</f>
        <v>105000</v>
      </c>
      <c r="G9" s="71" t="n">
        <f aca="false">F11</f>
        <v>102000</v>
      </c>
      <c r="H9" s="71" t="n">
        <f aca="false">G11</f>
        <v>99000</v>
      </c>
      <c r="I9" s="71" t="n">
        <f aca="false">H11</f>
        <v>96000</v>
      </c>
      <c r="J9" s="71" t="n">
        <f aca="false">I11</f>
        <v>93000</v>
      </c>
      <c r="K9" s="71" t="n">
        <f aca="false">J11</f>
        <v>90000</v>
      </c>
      <c r="L9" s="71" t="n">
        <f aca="false">K11</f>
        <v>87000</v>
      </c>
      <c r="M9" s="71" t="n">
        <f aca="false">L11</f>
        <v>84000</v>
      </c>
      <c r="N9" s="71" t="n">
        <f aca="false">M11</f>
        <v>81000</v>
      </c>
      <c r="O9" s="71" t="n">
        <f aca="false">N11</f>
        <v>78000</v>
      </c>
      <c r="P9" s="71" t="n">
        <f aca="false">O11</f>
        <v>75000</v>
      </c>
      <c r="Q9" s="71" t="n">
        <f aca="false">P11</f>
        <v>72000</v>
      </c>
      <c r="R9" s="71" t="n">
        <f aca="false">Q11</f>
        <v>69000</v>
      </c>
      <c r="S9" s="71" t="n">
        <f aca="false">R11</f>
        <v>66000</v>
      </c>
      <c r="T9" s="71" t="n">
        <f aca="false">S11</f>
        <v>63000</v>
      </c>
      <c r="U9" s="71" t="n">
        <f aca="false">T11</f>
        <v>60000</v>
      </c>
      <c r="V9" s="71" t="n">
        <f aca="false">U11</f>
        <v>57000</v>
      </c>
      <c r="W9" s="71" t="n">
        <f aca="false">V11</f>
        <v>54000</v>
      </c>
      <c r="X9" s="71" t="n">
        <f aca="false">W11</f>
        <v>51000</v>
      </c>
      <c r="Y9" s="71" t="n">
        <f aca="false">X11</f>
        <v>48000</v>
      </c>
      <c r="Z9" s="71" t="n">
        <f aca="false">Y11</f>
        <v>45000</v>
      </c>
      <c r="AA9" s="71" t="n">
        <f aca="false">Z11</f>
        <v>42000</v>
      </c>
      <c r="AB9" s="71" t="n">
        <f aca="false">AA11</f>
        <v>39000</v>
      </c>
    </row>
    <row r="10" customFormat="false" ht="15" hidden="false" customHeight="false" outlineLevel="0" collapsed="false">
      <c r="A10" s="28" t="s">
        <v>1398</v>
      </c>
      <c r="B10" s="58" t="s">
        <v>1399</v>
      </c>
      <c r="C10" s="59" t="n">
        <f aca="false">SUM(E10:P10)</f>
        <v>-36000</v>
      </c>
      <c r="D10" s="59" t="n">
        <f aca="false">SUM(Q10:AB10)</f>
        <v>-36000</v>
      </c>
      <c r="E10" s="60" t="n">
        <f aca="false">-MIN(E9,Assumptions!$C$93)</f>
        <v>-3000</v>
      </c>
      <c r="F10" s="60" t="n">
        <f aca="false">-MIN(F9,Assumptions!$C$93)</f>
        <v>-3000</v>
      </c>
      <c r="G10" s="60" t="n">
        <f aca="false">-MIN(G9,Assumptions!$C$93)</f>
        <v>-3000</v>
      </c>
      <c r="H10" s="60" t="n">
        <f aca="false">-MIN(H9,Assumptions!$C$93)</f>
        <v>-3000</v>
      </c>
      <c r="I10" s="60" t="n">
        <f aca="false">-MIN(I9,Assumptions!$C$93)</f>
        <v>-3000</v>
      </c>
      <c r="J10" s="60" t="n">
        <f aca="false">-MIN(J9,Assumptions!$C$93)</f>
        <v>-3000</v>
      </c>
      <c r="K10" s="60" t="n">
        <f aca="false">-MIN(K9,Assumptions!$C$93)</f>
        <v>-3000</v>
      </c>
      <c r="L10" s="60" t="n">
        <f aca="false">-MIN(L9,Assumptions!$C$93)</f>
        <v>-3000</v>
      </c>
      <c r="M10" s="60" t="n">
        <f aca="false">-MIN(M9,Assumptions!$C$93)</f>
        <v>-3000</v>
      </c>
      <c r="N10" s="60" t="n">
        <f aca="false">-MIN(N9,Assumptions!$C$93)</f>
        <v>-3000</v>
      </c>
      <c r="O10" s="60" t="n">
        <f aca="false">-MIN(O9,Assumptions!$C$93)</f>
        <v>-3000</v>
      </c>
      <c r="P10" s="60" t="n">
        <f aca="false">-MIN(P9,Assumptions!$C$93)</f>
        <v>-3000</v>
      </c>
      <c r="Q10" s="60" t="n">
        <f aca="false">-MIN(Q9,Assumptions!$C$93)</f>
        <v>-3000</v>
      </c>
      <c r="R10" s="60" t="n">
        <f aca="false">-MIN(R9,Assumptions!$C$93)</f>
        <v>-3000</v>
      </c>
      <c r="S10" s="60" t="n">
        <f aca="false">-MIN(S9,Assumptions!$C$93)</f>
        <v>-3000</v>
      </c>
      <c r="T10" s="60" t="n">
        <f aca="false">-MIN(T9,Assumptions!$C$93)</f>
        <v>-3000</v>
      </c>
      <c r="U10" s="60" t="n">
        <f aca="false">-MIN(U9,Assumptions!$C$93)</f>
        <v>-3000</v>
      </c>
      <c r="V10" s="60" t="n">
        <f aca="false">-MIN(V9,Assumptions!$C$93)</f>
        <v>-3000</v>
      </c>
      <c r="W10" s="60" t="n">
        <f aca="false">-MIN(W9,Assumptions!$C$93)</f>
        <v>-3000</v>
      </c>
      <c r="X10" s="60" t="n">
        <f aca="false">-MIN(X9,Assumptions!$C$93)</f>
        <v>-3000</v>
      </c>
      <c r="Y10" s="60" t="n">
        <f aca="false">-MIN(Y9,Assumptions!$C$93)</f>
        <v>-3000</v>
      </c>
      <c r="Z10" s="60" t="n">
        <f aca="false">-MIN(Z9,Assumptions!$C$93)</f>
        <v>-3000</v>
      </c>
      <c r="AA10" s="60" t="n">
        <f aca="false">-MIN(AA9,Assumptions!$C$93)</f>
        <v>-3000</v>
      </c>
      <c r="AB10" s="60" t="n">
        <f aca="false">-MIN(AB9,Assumptions!$C$93)</f>
        <v>-3000</v>
      </c>
    </row>
    <row r="11" customFormat="false" ht="15" hidden="false" customHeight="false" outlineLevel="0" collapsed="false">
      <c r="A11" s="68" t="s">
        <v>1397</v>
      </c>
      <c r="B11" s="69"/>
      <c r="C11" s="70" t="n">
        <f aca="false">P11</f>
        <v>72000</v>
      </c>
      <c r="D11" s="70" t="n">
        <f aca="false">AB11</f>
        <v>36000</v>
      </c>
      <c r="E11" s="70" t="n">
        <f aca="false">E9+E10</f>
        <v>105000</v>
      </c>
      <c r="F11" s="70" t="n">
        <f aca="false">F9+F10</f>
        <v>102000</v>
      </c>
      <c r="G11" s="70" t="n">
        <f aca="false">G9+G10</f>
        <v>99000</v>
      </c>
      <c r="H11" s="70" t="n">
        <f aca="false">H9+H10</f>
        <v>96000</v>
      </c>
      <c r="I11" s="70" t="n">
        <f aca="false">I9+I10</f>
        <v>93000</v>
      </c>
      <c r="J11" s="70" t="n">
        <f aca="false">J9+J10</f>
        <v>90000</v>
      </c>
      <c r="K11" s="70" t="n">
        <f aca="false">K9+K10</f>
        <v>87000</v>
      </c>
      <c r="L11" s="70" t="n">
        <f aca="false">L9+L10</f>
        <v>84000</v>
      </c>
      <c r="M11" s="70" t="n">
        <f aca="false">M9+M10</f>
        <v>81000</v>
      </c>
      <c r="N11" s="70" t="n">
        <f aca="false">N9+N10</f>
        <v>78000</v>
      </c>
      <c r="O11" s="70" t="n">
        <f aca="false">O9+O10</f>
        <v>75000</v>
      </c>
      <c r="P11" s="70" t="n">
        <f aca="false">P9+P10</f>
        <v>72000</v>
      </c>
      <c r="Q11" s="70" t="n">
        <f aca="false">Q9+Q10</f>
        <v>69000</v>
      </c>
      <c r="R11" s="70" t="n">
        <f aca="false">R9+R10</f>
        <v>66000</v>
      </c>
      <c r="S11" s="70" t="n">
        <f aca="false">S9+S10</f>
        <v>63000</v>
      </c>
      <c r="T11" s="70" t="n">
        <f aca="false">T9+T10</f>
        <v>60000</v>
      </c>
      <c r="U11" s="70" t="n">
        <f aca="false">U9+U10</f>
        <v>57000</v>
      </c>
      <c r="V11" s="70" t="n">
        <f aca="false">V9+V10</f>
        <v>54000</v>
      </c>
      <c r="W11" s="70" t="n">
        <f aca="false">W9+W10</f>
        <v>51000</v>
      </c>
      <c r="X11" s="70" t="n">
        <f aca="false">X9+X10</f>
        <v>48000</v>
      </c>
      <c r="Y11" s="70" t="n">
        <f aca="false">Y9+Y10</f>
        <v>45000</v>
      </c>
      <c r="Z11" s="70" t="n">
        <f aca="false">Z9+Z10</f>
        <v>42000</v>
      </c>
      <c r="AA11" s="70" t="n">
        <f aca="false">AA9+AA10</f>
        <v>39000</v>
      </c>
      <c r="AB11" s="70" t="n">
        <f aca="false">AB9+AB10</f>
        <v>36000</v>
      </c>
    </row>
    <row r="12" customFormat="false" ht="15" hidden="false" customHeight="false" outlineLevel="0" collapsed="false">
      <c r="A12" s="28" t="s">
        <v>1400</v>
      </c>
      <c r="B12" s="58" t="s">
        <v>1401</v>
      </c>
      <c r="C12" s="59" t="n">
        <f aca="false">SUM(E12:P12)</f>
        <v>5124</v>
      </c>
      <c r="D12" s="59" t="n">
        <f aca="false">SUM(Q12:AB12)</f>
        <v>3108</v>
      </c>
      <c r="E12" s="60" t="n">
        <f aca="false">E9*Assumptions!$C$92/12</f>
        <v>504</v>
      </c>
      <c r="F12" s="60" t="n">
        <f aca="false">F9*Assumptions!$C$92/12</f>
        <v>490</v>
      </c>
      <c r="G12" s="60" t="n">
        <f aca="false">G9*Assumptions!$C$92/12</f>
        <v>476</v>
      </c>
      <c r="H12" s="60" t="n">
        <f aca="false">H9*Assumptions!$C$92/12</f>
        <v>462</v>
      </c>
      <c r="I12" s="60" t="n">
        <f aca="false">I9*Assumptions!$C$92/12</f>
        <v>448</v>
      </c>
      <c r="J12" s="60" t="n">
        <f aca="false">J9*Assumptions!$C$92/12</f>
        <v>434</v>
      </c>
      <c r="K12" s="60" t="n">
        <f aca="false">K9*Assumptions!$C$92/12</f>
        <v>420</v>
      </c>
      <c r="L12" s="60" t="n">
        <f aca="false">L9*Assumptions!$C$92/12</f>
        <v>406</v>
      </c>
      <c r="M12" s="60" t="n">
        <f aca="false">M9*Assumptions!$C$92/12</f>
        <v>392</v>
      </c>
      <c r="N12" s="60" t="n">
        <f aca="false">N9*Assumptions!$C$92/12</f>
        <v>378</v>
      </c>
      <c r="O12" s="60" t="n">
        <f aca="false">O9*Assumptions!$C$92/12</f>
        <v>364</v>
      </c>
      <c r="P12" s="60" t="n">
        <f aca="false">P9*Assumptions!$C$92/12</f>
        <v>350</v>
      </c>
      <c r="Q12" s="60" t="n">
        <f aca="false">Q9*Assumptions!$C$92/12</f>
        <v>336</v>
      </c>
      <c r="R12" s="60" t="n">
        <f aca="false">R9*Assumptions!$C$92/12</f>
        <v>322</v>
      </c>
      <c r="S12" s="60" t="n">
        <f aca="false">S9*Assumptions!$C$92/12</f>
        <v>308</v>
      </c>
      <c r="T12" s="60" t="n">
        <f aca="false">T9*Assumptions!$C$92/12</f>
        <v>294</v>
      </c>
      <c r="U12" s="60" t="n">
        <f aca="false">U9*Assumptions!$C$92/12</f>
        <v>280</v>
      </c>
      <c r="V12" s="60" t="n">
        <f aca="false">V9*Assumptions!$C$92/12</f>
        <v>266</v>
      </c>
      <c r="W12" s="60" t="n">
        <f aca="false">W9*Assumptions!$C$92/12</f>
        <v>252</v>
      </c>
      <c r="X12" s="60" t="n">
        <f aca="false">X9*Assumptions!$C$92/12</f>
        <v>238</v>
      </c>
      <c r="Y12" s="60" t="n">
        <f aca="false">Y9*Assumptions!$C$92/12</f>
        <v>224</v>
      </c>
      <c r="Z12" s="60" t="n">
        <f aca="false">Z9*Assumptions!$C$92/12</f>
        <v>210</v>
      </c>
      <c r="AA12" s="60" t="n">
        <f aca="false">AA9*Assumptions!$C$92/12</f>
        <v>196</v>
      </c>
      <c r="AB12" s="60" t="n">
        <f aca="false">AB9*Assumptions!$C$92/12</f>
        <v>182</v>
      </c>
    </row>
    <row r="13" customFormat="false" ht="15" hidden="false" customHeight="false" outlineLevel="0" collapsed="false">
      <c r="A13" s="28" t="s">
        <v>1402</v>
      </c>
      <c r="B13" s="58"/>
      <c r="C13" s="59" t="n">
        <f aca="false">P13</f>
        <v>36000</v>
      </c>
      <c r="D13" s="59" t="n">
        <f aca="false">AB13</f>
        <v>36000</v>
      </c>
      <c r="E13" s="60" t="n">
        <f aca="false">MIN(E11,12*Assumptions!$C$93)</f>
        <v>36000</v>
      </c>
      <c r="F13" s="60" t="n">
        <f aca="false">MIN(F11,12*Assumptions!$C$93)</f>
        <v>36000</v>
      </c>
      <c r="G13" s="60" t="n">
        <f aca="false">MIN(G11,12*Assumptions!$C$93)</f>
        <v>36000</v>
      </c>
      <c r="H13" s="60" t="n">
        <f aca="false">MIN(H11,12*Assumptions!$C$93)</f>
        <v>36000</v>
      </c>
      <c r="I13" s="60" t="n">
        <f aca="false">MIN(I11,12*Assumptions!$C$93)</f>
        <v>36000</v>
      </c>
      <c r="J13" s="60" t="n">
        <f aca="false">MIN(J11,12*Assumptions!$C$93)</f>
        <v>36000</v>
      </c>
      <c r="K13" s="60" t="n">
        <f aca="false">MIN(K11,12*Assumptions!$C$93)</f>
        <v>36000</v>
      </c>
      <c r="L13" s="60" t="n">
        <f aca="false">MIN(L11,12*Assumptions!$C$93)</f>
        <v>36000</v>
      </c>
      <c r="M13" s="60" t="n">
        <f aca="false">MIN(M11,12*Assumptions!$C$93)</f>
        <v>36000</v>
      </c>
      <c r="N13" s="60" t="n">
        <f aca="false">MIN(N11,12*Assumptions!$C$93)</f>
        <v>36000</v>
      </c>
      <c r="O13" s="60" t="n">
        <f aca="false">MIN(O11,12*Assumptions!$C$93)</f>
        <v>36000</v>
      </c>
      <c r="P13" s="60" t="n">
        <f aca="false">MIN(P11,12*Assumptions!$C$93)</f>
        <v>36000</v>
      </c>
      <c r="Q13" s="60" t="n">
        <f aca="false">MIN(Q11,12*Assumptions!$C$93)</f>
        <v>36000</v>
      </c>
      <c r="R13" s="60" t="n">
        <f aca="false">MIN(R11,12*Assumptions!$C$93)</f>
        <v>36000</v>
      </c>
      <c r="S13" s="60" t="n">
        <f aca="false">MIN(S11,12*Assumptions!$C$93)</f>
        <v>36000</v>
      </c>
      <c r="T13" s="60" t="n">
        <f aca="false">MIN(T11,12*Assumptions!$C$93)</f>
        <v>36000</v>
      </c>
      <c r="U13" s="60" t="n">
        <f aca="false">MIN(U11,12*Assumptions!$C$93)</f>
        <v>36000</v>
      </c>
      <c r="V13" s="60" t="n">
        <f aca="false">MIN(V11,12*Assumptions!$C$93)</f>
        <v>36000</v>
      </c>
      <c r="W13" s="60" t="n">
        <f aca="false">MIN(W11,12*Assumptions!$C$93)</f>
        <v>36000</v>
      </c>
      <c r="X13" s="60" t="n">
        <f aca="false">MIN(X11,12*Assumptions!$C$93)</f>
        <v>36000</v>
      </c>
      <c r="Y13" s="60" t="n">
        <f aca="false">MIN(Y11,12*Assumptions!$C$93)</f>
        <v>36000</v>
      </c>
      <c r="Z13" s="60" t="n">
        <f aca="false">MIN(Z11,12*Assumptions!$C$93)</f>
        <v>36000</v>
      </c>
      <c r="AA13" s="60" t="n">
        <f aca="false">MIN(AA11,12*Assumptions!$C$93)</f>
        <v>36000</v>
      </c>
      <c r="AB13" s="60" t="n">
        <f aca="false">MIN(AB11,12*Assumptions!$C$93)</f>
        <v>36000</v>
      </c>
    </row>
    <row r="14" customFormat="false" ht="15" hidden="false" customHeight="false" outlineLevel="0" collapsed="false">
      <c r="A14" s="28" t="s">
        <v>1403</v>
      </c>
      <c r="B14" s="58"/>
      <c r="C14" s="59" t="n">
        <f aca="false">P14</f>
        <v>36000</v>
      </c>
      <c r="D14" s="59" t="n">
        <f aca="false">AB14</f>
        <v>0</v>
      </c>
      <c r="E14" s="71" t="n">
        <f aca="false">E11-E13</f>
        <v>69000</v>
      </c>
      <c r="F14" s="71" t="n">
        <f aca="false">F11-F13</f>
        <v>66000</v>
      </c>
      <c r="G14" s="71" t="n">
        <f aca="false">G11-G13</f>
        <v>63000</v>
      </c>
      <c r="H14" s="71" t="n">
        <f aca="false">H11-H13</f>
        <v>60000</v>
      </c>
      <c r="I14" s="71" t="n">
        <f aca="false">I11-I13</f>
        <v>57000</v>
      </c>
      <c r="J14" s="71" t="n">
        <f aca="false">J11-J13</f>
        <v>54000</v>
      </c>
      <c r="K14" s="71" t="n">
        <f aca="false">K11-K13</f>
        <v>51000</v>
      </c>
      <c r="L14" s="71" t="n">
        <f aca="false">L11-L13</f>
        <v>48000</v>
      </c>
      <c r="M14" s="71" t="n">
        <f aca="false">M11-M13</f>
        <v>45000</v>
      </c>
      <c r="N14" s="71" t="n">
        <f aca="false">N11-N13</f>
        <v>42000</v>
      </c>
      <c r="O14" s="71" t="n">
        <f aca="false">O11-O13</f>
        <v>39000</v>
      </c>
      <c r="P14" s="71" t="n">
        <f aca="false">P11-P13</f>
        <v>36000</v>
      </c>
      <c r="Q14" s="71" t="n">
        <f aca="false">Q11-Q13</f>
        <v>33000</v>
      </c>
      <c r="R14" s="71" t="n">
        <f aca="false">R11-R13</f>
        <v>30000</v>
      </c>
      <c r="S14" s="71" t="n">
        <f aca="false">S11-S13</f>
        <v>27000</v>
      </c>
      <c r="T14" s="71" t="n">
        <f aca="false">T11-T13</f>
        <v>24000</v>
      </c>
      <c r="U14" s="71" t="n">
        <f aca="false">U11-U13</f>
        <v>21000</v>
      </c>
      <c r="V14" s="71" t="n">
        <f aca="false">V11-V13</f>
        <v>18000</v>
      </c>
      <c r="W14" s="71" t="n">
        <f aca="false">W11-W13</f>
        <v>15000</v>
      </c>
      <c r="X14" s="71" t="n">
        <f aca="false">X11-X13</f>
        <v>12000</v>
      </c>
      <c r="Y14" s="71" t="n">
        <f aca="false">Y11-Y13</f>
        <v>9000</v>
      </c>
      <c r="Z14" s="71" t="n">
        <f aca="false">Z11-Z13</f>
        <v>6000</v>
      </c>
      <c r="AA14" s="71" t="n">
        <f aca="false">AA11-AA13</f>
        <v>3000</v>
      </c>
      <c r="AB14" s="71" t="n">
        <f aca="false">AB11-AB13</f>
        <v>0</v>
      </c>
    </row>
    <row r="15" customFormat="false" ht="15" hidden="false" customHeight="false" outlineLevel="0" collapsed="false">
      <c r="A15" s="22" t="s">
        <v>1404</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row>
    <row r="16" customFormat="false" ht="15" hidden="false" customHeight="false" outlineLevel="0" collapsed="false">
      <c r="A16" s="28" t="s">
        <v>1405</v>
      </c>
      <c r="B16" s="58" t="s">
        <v>1406</v>
      </c>
      <c r="C16" s="59" t="n">
        <f aca="false">SUM(E16:P16)</f>
        <v>280000</v>
      </c>
      <c r="D16" s="59" t="n">
        <f aca="false">SUM(Q16:AB16)</f>
        <v>214239.142153228</v>
      </c>
      <c r="E16" s="60" t="n">
        <f aca="false">Inputs_Actuals!E176</f>
        <v>0</v>
      </c>
      <c r="F16" s="60" t="n">
        <f aca="false">Inputs_Actuals!F176</f>
        <v>0</v>
      </c>
      <c r="G16" s="60" t="n">
        <f aca="false">Inputs_Actuals!G176</f>
        <v>0</v>
      </c>
      <c r="H16" s="60" t="n">
        <f aca="false">Inputs_Actuals!H176</f>
        <v>0</v>
      </c>
      <c r="I16" s="60" t="n">
        <f aca="false">Inputs_Actuals!I176</f>
        <v>0</v>
      </c>
      <c r="J16" s="60" t="n">
        <f aca="false">Inputs_Actuals!J176</f>
        <v>280000</v>
      </c>
      <c r="K16" s="60" t="n">
        <f aca="false">Inputs_Actuals!K176</f>
        <v>0</v>
      </c>
      <c r="L16" s="60" t="n">
        <f aca="false">Inputs_Actuals!L176</f>
        <v>0</v>
      </c>
      <c r="M16" s="71" t="n">
        <f aca="false">0</f>
        <v>0</v>
      </c>
      <c r="N16" s="71" t="n">
        <f aca="false">0</f>
        <v>0</v>
      </c>
      <c r="O16" s="71" t="n">
        <f aca="false">0</f>
        <v>0</v>
      </c>
      <c r="P16" s="71" t="n">
        <f aca="false">0</f>
        <v>0</v>
      </c>
      <c r="Q16" s="60" t="n">
        <f aca="false">IF(Assumptions!Q$98=Assumptions!$C$94,MAX(0,Assumptions!$F$131*PL!$C$49),0)</f>
        <v>0</v>
      </c>
      <c r="R16" s="60" t="n">
        <f aca="false">IF(Assumptions!R$98=Assumptions!$C$94,MAX(0,Assumptions!$F$131*PL!$C$49),0)</f>
        <v>0</v>
      </c>
      <c r="S16" s="60" t="n">
        <f aca="false">IF(Assumptions!S$98=Assumptions!$C$94,MAX(0,Assumptions!$F$131*PL!$C$49),0)</f>
        <v>0</v>
      </c>
      <c r="T16" s="60" t="n">
        <f aca="false">IF(Assumptions!T$98=Assumptions!$C$94,MAX(0,Assumptions!$F$131*PL!$C$49),0)</f>
        <v>0</v>
      </c>
      <c r="U16" s="60" t="n">
        <f aca="false">IF(Assumptions!U$98=Assumptions!$C$94,MAX(0,Assumptions!$F$131*PL!$C$49),0)</f>
        <v>0</v>
      </c>
      <c r="V16" s="60" t="n">
        <f aca="false">IF(Assumptions!V$98=Assumptions!$C$94,MAX(0,Assumptions!$F$131*PL!$C$49),0)</f>
        <v>214239.142153228</v>
      </c>
      <c r="W16" s="60" t="n">
        <f aca="false">IF(Assumptions!W$98=Assumptions!$C$94,MAX(0,Assumptions!$F$131*PL!$C$49),0)</f>
        <v>0</v>
      </c>
      <c r="X16" s="60" t="n">
        <f aca="false">IF(Assumptions!X$98=Assumptions!$C$94,MAX(0,Assumptions!$F$131*PL!$C$49),0)</f>
        <v>0</v>
      </c>
      <c r="Y16" s="60" t="n">
        <f aca="false">IF(Assumptions!Y$98=Assumptions!$C$94,MAX(0,Assumptions!$F$131*PL!$C$49),0)</f>
        <v>0</v>
      </c>
      <c r="Z16" s="60" t="n">
        <f aca="false">IF(Assumptions!Z$98=Assumptions!$C$94,MAX(0,Assumptions!$F$131*PL!$C$49),0)</f>
        <v>0</v>
      </c>
      <c r="AA16" s="60" t="n">
        <f aca="false">IF(Assumptions!AA$98=Assumptions!$C$94,MAX(0,Assumptions!$F$131*PL!$C$49),0)</f>
        <v>0</v>
      </c>
      <c r="AB16" s="60" t="n">
        <f aca="false">IF(Assumptions!AB$98=Assumptions!$C$94,MAX(0,Assumptions!$F$131*PL!$C$49),0)</f>
        <v>0</v>
      </c>
    </row>
    <row r="17" customFormat="false" ht="15" hidden="false" customHeight="false" outlineLevel="0" collapsed="false">
      <c r="A17" s="28" t="s">
        <v>1407</v>
      </c>
      <c r="B17" s="58" t="s">
        <v>1408</v>
      </c>
      <c r="C17" s="59" t="n">
        <f aca="false">SUM(E17:P17)</f>
        <v>78974.36</v>
      </c>
      <c r="D17" s="59" t="n">
        <f aca="false">SUM(Q17:AB17)</f>
        <v>60426.4247098848</v>
      </c>
      <c r="E17" s="60" t="n">
        <f aca="false">IF(E$5="A",Inputs_Actuals!E177,E16*Assumptions!$C$19)</f>
        <v>0</v>
      </c>
      <c r="F17" s="60" t="n">
        <f aca="false">IF(F$5="A",Inputs_Actuals!F177,F16*Assumptions!$C$19)</f>
        <v>0</v>
      </c>
      <c r="G17" s="60" t="n">
        <f aca="false">IF(G$5="A",Inputs_Actuals!G177,G16*Assumptions!$C$19)</f>
        <v>0</v>
      </c>
      <c r="H17" s="60" t="n">
        <f aca="false">IF(H$5="A",Inputs_Actuals!H177,H16*Assumptions!$C$19)</f>
        <v>0</v>
      </c>
      <c r="I17" s="60" t="n">
        <f aca="false">IF(I$5="A",Inputs_Actuals!I177,I16*Assumptions!$C$19)</f>
        <v>0</v>
      </c>
      <c r="J17" s="60" t="n">
        <f aca="false">IF(J$5="A",Inputs_Actuals!J177,J16*Assumptions!$C$19)</f>
        <v>78974.36</v>
      </c>
      <c r="K17" s="60" t="n">
        <f aca="false">IF(K$5="A",Inputs_Actuals!K177,K16*Assumptions!$C$19)</f>
        <v>0</v>
      </c>
      <c r="L17" s="60" t="n">
        <f aca="false">IF(L$5="A",Inputs_Actuals!L177,L16*Assumptions!$C$19)</f>
        <v>0</v>
      </c>
      <c r="M17" s="60" t="n">
        <f aca="false">IF(M$5="A",Inputs_Actuals!M177,M16*Assumptions!$C$19)</f>
        <v>0</v>
      </c>
      <c r="N17" s="60" t="n">
        <f aca="false">IF(N$5="A",Inputs_Actuals!N177,N16*Assumptions!$C$19)</f>
        <v>0</v>
      </c>
      <c r="O17" s="60" t="n">
        <f aca="false">IF(O$5="A",Inputs_Actuals!O177,O16*Assumptions!$C$19)</f>
        <v>0</v>
      </c>
      <c r="P17" s="60" t="n">
        <f aca="false">IF(P$5="A",Inputs_Actuals!P177,P16*Assumptions!$C$19)</f>
        <v>0</v>
      </c>
      <c r="Q17" s="60" t="n">
        <f aca="false">IF(Q$5="A",Inputs_Actuals!Q177,Q16*Assumptions!$C$19)</f>
        <v>0</v>
      </c>
      <c r="R17" s="60" t="n">
        <f aca="false">IF(R$5="A",Inputs_Actuals!R177,R16*Assumptions!$C$19)</f>
        <v>0</v>
      </c>
      <c r="S17" s="60" t="n">
        <f aca="false">IF(S$5="A",Inputs_Actuals!S177,S16*Assumptions!$C$19)</f>
        <v>0</v>
      </c>
      <c r="T17" s="60" t="n">
        <f aca="false">IF(T$5="A",Inputs_Actuals!T177,T16*Assumptions!$C$19)</f>
        <v>0</v>
      </c>
      <c r="U17" s="60" t="n">
        <f aca="false">IF(U$5="A",Inputs_Actuals!U177,U16*Assumptions!$C$19)</f>
        <v>0</v>
      </c>
      <c r="V17" s="60" t="n">
        <f aca="false">IF(V$5="A",Inputs_Actuals!V177,V16*Assumptions!$C$19)</f>
        <v>60426.4247098848</v>
      </c>
      <c r="W17" s="60" t="n">
        <f aca="false">IF(W$5="A",Inputs_Actuals!W177,W16*Assumptions!$C$19)</f>
        <v>0</v>
      </c>
      <c r="X17" s="60" t="n">
        <f aca="false">IF(X$5="A",Inputs_Actuals!X177,X16*Assumptions!$C$19)</f>
        <v>0</v>
      </c>
      <c r="Y17" s="60" t="n">
        <f aca="false">IF(Y$5="A",Inputs_Actuals!Y177,Y16*Assumptions!$C$19)</f>
        <v>0</v>
      </c>
      <c r="Z17" s="60" t="n">
        <f aca="false">IF(Z$5="A",Inputs_Actuals!Z177,Z16*Assumptions!$C$19)</f>
        <v>0</v>
      </c>
      <c r="AA17" s="60" t="n">
        <f aca="false">IF(AA$5="A",Inputs_Actuals!AA177,AA16*Assumptions!$C$19)</f>
        <v>0</v>
      </c>
      <c r="AB17" s="60" t="n">
        <f aca="false">IF(AB$5="A",Inputs_Actuals!AB177,AB16*Assumptions!$C$19)</f>
        <v>0</v>
      </c>
    </row>
    <row r="18" customFormat="false" ht="15" hidden="false" customHeight="false" outlineLevel="0" collapsed="false">
      <c r="A18" s="28" t="s">
        <v>1409</v>
      </c>
      <c r="B18" s="58"/>
      <c r="E18" s="60" t="n">
        <f aca="false">Inputs_Actuals!$C$193</f>
        <v>0</v>
      </c>
      <c r="F18" s="71" t="n">
        <f aca="false">E20</f>
        <v>0</v>
      </c>
      <c r="G18" s="71" t="n">
        <f aca="false">F20</f>
        <v>0</v>
      </c>
      <c r="H18" s="71" t="n">
        <f aca="false">G20</f>
        <v>0</v>
      </c>
      <c r="I18" s="71" t="n">
        <f aca="false">H20</f>
        <v>0</v>
      </c>
      <c r="J18" s="71" t="n">
        <f aca="false">I20</f>
        <v>0</v>
      </c>
      <c r="K18" s="71" t="n">
        <f aca="false">J20</f>
        <v>78974.36</v>
      </c>
      <c r="L18" s="71" t="n">
        <f aca="false">K20</f>
        <v>0</v>
      </c>
      <c r="M18" s="71" t="n">
        <f aca="false">L20</f>
        <v>0</v>
      </c>
      <c r="N18" s="71" t="n">
        <f aca="false">M20</f>
        <v>0</v>
      </c>
      <c r="O18" s="71" t="n">
        <f aca="false">N20</f>
        <v>0</v>
      </c>
      <c r="P18" s="71" t="n">
        <f aca="false">O20</f>
        <v>0</v>
      </c>
      <c r="Q18" s="71" t="n">
        <f aca="false">P20</f>
        <v>0</v>
      </c>
      <c r="R18" s="71" t="n">
        <f aca="false">Q20</f>
        <v>0</v>
      </c>
      <c r="S18" s="71" t="n">
        <f aca="false">R20</f>
        <v>0</v>
      </c>
      <c r="T18" s="71" t="n">
        <f aca="false">S20</f>
        <v>0</v>
      </c>
      <c r="U18" s="71" t="n">
        <f aca="false">T20</f>
        <v>0</v>
      </c>
      <c r="V18" s="71" t="n">
        <f aca="false">U20</f>
        <v>0</v>
      </c>
      <c r="W18" s="71" t="n">
        <f aca="false">V20</f>
        <v>60426.4247098848</v>
      </c>
      <c r="X18" s="71" t="n">
        <f aca="false">W20</f>
        <v>0</v>
      </c>
      <c r="Y18" s="71" t="n">
        <f aca="false">X20</f>
        <v>0</v>
      </c>
      <c r="Z18" s="71" t="n">
        <f aca="false">Y20</f>
        <v>0</v>
      </c>
      <c r="AA18" s="71" t="n">
        <f aca="false">Z20</f>
        <v>0</v>
      </c>
      <c r="AB18" s="71" t="n">
        <f aca="false">AA20</f>
        <v>0</v>
      </c>
    </row>
    <row r="19" customFormat="false" ht="15" hidden="false" customHeight="false" outlineLevel="0" collapsed="false">
      <c r="A19" s="28" t="s">
        <v>1410</v>
      </c>
      <c r="B19" s="58"/>
      <c r="C19" s="59" t="n">
        <f aca="false">SUM(E19:P19)</f>
        <v>-78974.36</v>
      </c>
      <c r="D19" s="59" t="n">
        <f aca="false">SUM(Q19:AB19)</f>
        <v>-60426.4247098848</v>
      </c>
      <c r="E19" s="71" t="n">
        <f aca="false">-E18</f>
        <v>-0</v>
      </c>
      <c r="F19" s="71" t="n">
        <f aca="false">-F18</f>
        <v>-0</v>
      </c>
      <c r="G19" s="71" t="n">
        <f aca="false">-G18</f>
        <v>-0</v>
      </c>
      <c r="H19" s="71" t="n">
        <f aca="false">-H18</f>
        <v>-0</v>
      </c>
      <c r="I19" s="71" t="n">
        <f aca="false">-I18</f>
        <v>-0</v>
      </c>
      <c r="J19" s="71" t="n">
        <f aca="false">-J18</f>
        <v>-0</v>
      </c>
      <c r="K19" s="71" t="n">
        <f aca="false">-K18</f>
        <v>-78974.36</v>
      </c>
      <c r="L19" s="71" t="n">
        <f aca="false">-L18</f>
        <v>-0</v>
      </c>
      <c r="M19" s="71" t="n">
        <f aca="false">-M18</f>
        <v>-0</v>
      </c>
      <c r="N19" s="71" t="n">
        <f aca="false">-N18</f>
        <v>-0</v>
      </c>
      <c r="O19" s="71" t="n">
        <f aca="false">-O18</f>
        <v>-0</v>
      </c>
      <c r="P19" s="71" t="n">
        <f aca="false">-P18</f>
        <v>-0</v>
      </c>
      <c r="Q19" s="71" t="n">
        <f aca="false">-Q18</f>
        <v>-0</v>
      </c>
      <c r="R19" s="71" t="n">
        <f aca="false">-R18</f>
        <v>-0</v>
      </c>
      <c r="S19" s="71" t="n">
        <f aca="false">-S18</f>
        <v>-0</v>
      </c>
      <c r="T19" s="71" t="n">
        <f aca="false">-T18</f>
        <v>-0</v>
      </c>
      <c r="U19" s="71" t="n">
        <f aca="false">-U18</f>
        <v>-0</v>
      </c>
      <c r="V19" s="71" t="n">
        <f aca="false">-V18</f>
        <v>-0</v>
      </c>
      <c r="W19" s="71" t="n">
        <f aca="false">-W18</f>
        <v>-60426.4247098848</v>
      </c>
      <c r="X19" s="71" t="n">
        <f aca="false">-X18</f>
        <v>-0</v>
      </c>
      <c r="Y19" s="71" t="n">
        <f aca="false">-Y18</f>
        <v>-0</v>
      </c>
      <c r="Z19" s="71" t="n">
        <f aca="false">-Z18</f>
        <v>-0</v>
      </c>
      <c r="AA19" s="71" t="n">
        <f aca="false">-AA18</f>
        <v>-0</v>
      </c>
      <c r="AB19" s="71" t="n">
        <f aca="false">-AB18</f>
        <v>-0</v>
      </c>
    </row>
    <row r="20" customFormat="false" ht="15" hidden="false" customHeight="false" outlineLevel="0" collapsed="false">
      <c r="A20" s="68" t="s">
        <v>1411</v>
      </c>
      <c r="B20" s="69"/>
      <c r="C20" s="70" t="n">
        <f aca="false">P20</f>
        <v>0</v>
      </c>
      <c r="D20" s="70" t="n">
        <f aca="false">AB20</f>
        <v>0</v>
      </c>
      <c r="E20" s="70" t="n">
        <f aca="false">E18+E17+E19</f>
        <v>0</v>
      </c>
      <c r="F20" s="70" t="n">
        <f aca="false">F18+F17+F19</f>
        <v>0</v>
      </c>
      <c r="G20" s="70" t="n">
        <f aca="false">G18+G17+G19</f>
        <v>0</v>
      </c>
      <c r="H20" s="70" t="n">
        <f aca="false">H18+H17+H19</f>
        <v>0</v>
      </c>
      <c r="I20" s="70" t="n">
        <f aca="false">I18+I17+I19</f>
        <v>0</v>
      </c>
      <c r="J20" s="70" t="n">
        <f aca="false">J18+J17+J19</f>
        <v>78974.36</v>
      </c>
      <c r="K20" s="70" t="n">
        <f aca="false">K18+K17+K19</f>
        <v>0</v>
      </c>
      <c r="L20" s="70" t="n">
        <f aca="false">L18+L17+L19</f>
        <v>0</v>
      </c>
      <c r="M20" s="70" t="n">
        <f aca="false">M18+M17+M19</f>
        <v>0</v>
      </c>
      <c r="N20" s="70" t="n">
        <f aca="false">N18+N17+N19</f>
        <v>0</v>
      </c>
      <c r="O20" s="70" t="n">
        <f aca="false">O18+O17+O19</f>
        <v>0</v>
      </c>
      <c r="P20" s="70" t="n">
        <f aca="false">P18+P17+P19</f>
        <v>0</v>
      </c>
      <c r="Q20" s="70" t="n">
        <f aca="false">Q18+Q17+Q19</f>
        <v>0</v>
      </c>
      <c r="R20" s="70" t="n">
        <f aca="false">R18+R17+R19</f>
        <v>0</v>
      </c>
      <c r="S20" s="70" t="n">
        <f aca="false">S18+S17+S19</f>
        <v>0</v>
      </c>
      <c r="T20" s="70" t="n">
        <f aca="false">T18+T17+T19</f>
        <v>0</v>
      </c>
      <c r="U20" s="70" t="n">
        <f aca="false">U18+U17+U19</f>
        <v>0</v>
      </c>
      <c r="V20" s="70" t="n">
        <f aca="false">V18+V17+V19</f>
        <v>60426.4247098848</v>
      </c>
      <c r="W20" s="70" t="n">
        <f aca="false">W18+W17+W19</f>
        <v>0</v>
      </c>
      <c r="X20" s="70" t="n">
        <f aca="false">X18+X17+X19</f>
        <v>0</v>
      </c>
      <c r="Y20" s="70" t="n">
        <f aca="false">Y18+Y17+Y19</f>
        <v>0</v>
      </c>
      <c r="Z20" s="70" t="n">
        <f aca="false">Z18+Z17+Z19</f>
        <v>0</v>
      </c>
      <c r="AA20" s="70" t="n">
        <f aca="false">AA18+AA17+AA19</f>
        <v>0</v>
      </c>
      <c r="AB20" s="70" t="n">
        <f aca="false">AB18+AB17+AB19</f>
        <v>0</v>
      </c>
    </row>
    <row r="21" customFormat="false" ht="15" hidden="false" customHeight="false" outlineLevel="0" collapsed="false">
      <c r="A21" s="22" t="s">
        <v>1412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row>
    <row r="22" customFormat="false" ht="15" hidden="false" customHeight="false" outlineLevel="0" collapsed="false">
      <c r="A22" s="28" t="s">
        <v>1413</v>
      </c>
      <c r="B22" s="58" t="s">
        <v>84</v>
      </c>
      <c r="C22" s="59" t="n">
        <f aca="false">P22</f>
        <v>300000</v>
      </c>
      <c r="D22" s="59" t="n">
        <f aca="false">AB22</f>
        <v>300000</v>
      </c>
      <c r="E22" s="60" t="n">
        <f aca="false">Assumptions!$C$14</f>
        <v>300000</v>
      </c>
      <c r="F22" s="60" t="n">
        <f aca="false">Assumptions!$C$14</f>
        <v>300000</v>
      </c>
      <c r="G22" s="60" t="n">
        <f aca="false">Assumptions!$C$14</f>
        <v>300000</v>
      </c>
      <c r="H22" s="60" t="n">
        <f aca="false">Assumptions!$C$14</f>
        <v>300000</v>
      </c>
      <c r="I22" s="60" t="n">
        <f aca="false">Assumptions!$C$14</f>
        <v>300000</v>
      </c>
      <c r="J22" s="60" t="n">
        <f aca="false">Assumptions!$C$14</f>
        <v>300000</v>
      </c>
      <c r="K22" s="60" t="n">
        <f aca="false">Assumptions!$C$14</f>
        <v>300000</v>
      </c>
      <c r="L22" s="60" t="n">
        <f aca="false">Assumptions!$C$14</f>
        <v>300000</v>
      </c>
      <c r="M22" s="60" t="n">
        <f aca="false">Assumptions!$C$14</f>
        <v>300000</v>
      </c>
      <c r="N22" s="60" t="n">
        <f aca="false">Assumptions!$C$14</f>
        <v>300000</v>
      </c>
      <c r="O22" s="60" t="n">
        <f aca="false">Assumptions!$C$14</f>
        <v>300000</v>
      </c>
      <c r="P22" s="60" t="n">
        <f aca="false">Assumptions!$C$14</f>
        <v>300000</v>
      </c>
      <c r="Q22" s="60" t="n">
        <f aca="false">Assumptions!$C$14</f>
        <v>300000</v>
      </c>
      <c r="R22" s="60" t="n">
        <f aca="false">Assumptions!$C$14</f>
        <v>300000</v>
      </c>
      <c r="S22" s="60" t="n">
        <f aca="false">Assumptions!$C$14</f>
        <v>300000</v>
      </c>
      <c r="T22" s="60" t="n">
        <f aca="false">Assumptions!$C$14</f>
        <v>300000</v>
      </c>
      <c r="U22" s="60" t="n">
        <f aca="false">Assumptions!$C$14</f>
        <v>300000</v>
      </c>
      <c r="V22" s="60" t="n">
        <f aca="false">Assumptions!$C$14</f>
        <v>300000</v>
      </c>
      <c r="W22" s="60" t="n">
        <f aca="false">Assumptions!$C$14</f>
        <v>300000</v>
      </c>
      <c r="X22" s="60" t="n">
        <f aca="false">Assumptions!$C$14</f>
        <v>300000</v>
      </c>
      <c r="Y22" s="60" t="n">
        <f aca="false">Assumptions!$C$14</f>
        <v>300000</v>
      </c>
      <c r="Z22" s="60" t="n">
        <f aca="false">Assumptions!$C$14</f>
        <v>300000</v>
      </c>
      <c r="AA22" s="60" t="n">
        <f aca="false">Assumptions!$C$14</f>
        <v>300000</v>
      </c>
      <c r="AB22" s="60" t="n">
        <f aca="false">Assumptions!$C$14</f>
        <v>300000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49"/>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34"/>
    <col collapsed="false" customWidth="true" hidden="false" outlineLevel="0" max="3" min="3" style="0" width="14"/>
    <col collapsed="false" customWidth="true" hidden="false" outlineLevel="0" max="4" min="4" style="0" width="9"/>
    <col collapsed="false" customWidth="true" hidden="false" outlineLevel="0" max="5" min="5" style="0" width="13"/>
    <col collapsed="false" customWidth="true" hidden="false" outlineLevel="0" max="7" min="6" style="0" width="8"/>
    <col collapsed="false" customWidth="true" hidden="false" outlineLevel="0" max="8" min="8" style="0" width="26"/>
    <col collapsed="false" customWidth="true" hidden="false" outlineLevel="0" max="10" min="9" style="0" width="10"/>
    <col collapsed="false" customWidth="true" hidden="false" outlineLevel="0" max="11" min="11" style="0" width="9"/>
    <col collapsed="false" customWidth="true" hidden="false" outlineLevel="0" max="12" min="12" style="0" width="10"/>
    <col collapsed="false" customWidth="true" hidden="false" outlineLevel="0" max="13" min="13" style="0" width="8"/>
    <col collapsed="false" customWidth="true" hidden="false" outlineLevel="0" max="16" min="14" style="0" width="9"/>
    <col collapsed="false" customWidth="true" hidden="false" outlineLevel="0" max="17" min="17" style="0" width="11"/>
    <col collapsed="false" customWidth="true" hidden="false" outlineLevel="0" max="18" min="18" style="0" width="8"/>
    <col collapsed="false" customWidth="true" hidden="false" outlineLevel="0" max="19" min="19" style="0" width="9"/>
    <col collapsed="false" customWidth="true" hidden="false" outlineLevel="0" max="21" min="20" style="0" width="12"/>
    <col collapsed="false" customWidth="true" hidden="false" outlineLevel="0" max="22" min="22" style="0" width="9"/>
    <col collapsed="false" customWidth="true" hidden="false" outlineLevel="0" max="24" min="23" style="0" width="12"/>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1414</v>
      </c>
    </row>
    <row r="3" customFormat="false" ht="15" hidden="false" customHeight="false" outlineLevel="0" collapsed="false">
      <c r="A3" s="25" t="s">
        <v>1415</v>
      </c>
    </row>
    <row r="6" customFormat="false" ht="66" hidden="false" customHeight="true" outlineLevel="0" collapsed="false">
      <c r="A6" s="26" t="s">
        <v>1416</v>
      </c>
      <c r="B6" s="27" t="s">
        <v>1240</v>
      </c>
      <c r="C6" s="27" t="s">
        <v>1417</v>
      </c>
      <c r="D6" s="27" t="s">
        <v>1418</v>
      </c>
      <c r="E6" s="27" t="s">
        <v>1419</v>
      </c>
      <c r="F6" s="27" t="s">
        <v>1420</v>
      </c>
      <c r="G6" s="27" t="s">
        <v>1421</v>
      </c>
      <c r="H6" s="27" t="s">
        <v>1422</v>
      </c>
      <c r="I6" s="27" t="s">
        <v>1423</v>
      </c>
      <c r="J6" s="27" t="s">
        <v>1424</v>
      </c>
      <c r="K6" s="27" t="s">
        <v>1425</v>
      </c>
      <c r="L6" s="27" t="s">
        <v>1426</v>
      </c>
      <c r="M6" s="27" t="s">
        <v>1427</v>
      </c>
      <c r="N6" s="27" t="s">
        <v>1428</v>
      </c>
      <c r="O6" s="27" t="s">
        <v>1429</v>
      </c>
      <c r="P6" s="27" t="s">
        <v>1430</v>
      </c>
      <c r="Q6" s="27" t="s">
        <v>1431</v>
      </c>
      <c r="R6" s="27" t="s">
        <v>1432</v>
      </c>
      <c r="S6" s="27" t="s">
        <v>1433</v>
      </c>
      <c r="T6" s="27" t="s">
        <v>1434</v>
      </c>
      <c r="U6" s="27" t="s">
        <v>1435</v>
      </c>
      <c r="V6" s="27" t="s">
        <v>1436</v>
      </c>
      <c r="W6" s="27" t="s">
        <v>1437</v>
      </c>
      <c r="X6" s="27" t="s">
        <v>1438</v>
      </c>
    </row>
    <row r="7" customFormat="false" ht="15" hidden="false" customHeight="false" outlineLevel="0" collapsed="false">
      <c r="A7" s="131" t="s">
        <v>1439</v>
      </c>
      <c r="B7" s="131" t="s">
        <v>662</v>
      </c>
      <c r="C7" s="131" t="s">
        <v>1440</v>
      </c>
      <c r="D7" s="131" t="s">
        <v>663</v>
      </c>
      <c r="E7" s="131" t="s">
        <v>1441</v>
      </c>
      <c r="F7" s="62" t="n">
        <f aca="false">IF(E7="EE",Assumptions!$C$18,0)</f>
        <v>0</v>
      </c>
      <c r="G7" s="118" t="n">
        <v>2021</v>
      </c>
      <c r="H7" s="131" t="s">
        <v>1442</v>
      </c>
      <c r="I7" s="118" t="n">
        <v>35</v>
      </c>
      <c r="J7" s="132" t="n">
        <f aca="false">I7+Assumptions!$F$124</f>
        <v>35</v>
      </c>
      <c r="K7" s="133" t="n">
        <v>0</v>
      </c>
      <c r="L7" s="103" t="n">
        <v>0</v>
      </c>
      <c r="M7" s="130" t="n">
        <v>0</v>
      </c>
      <c r="N7" s="116"/>
      <c r="O7" s="62" t="str">
        <f aca="false">"n/a"</f>
        <v>n/a</v>
      </c>
      <c r="P7" s="62" t="n">
        <v>0</v>
      </c>
      <c r="Q7" s="103" t="n">
        <v>0</v>
      </c>
      <c r="R7" s="130" t="n">
        <v>0</v>
      </c>
      <c r="S7" s="133" t="n">
        <v>0</v>
      </c>
      <c r="T7" s="103" t="n">
        <v>53779.03</v>
      </c>
      <c r="U7" s="103" t="n">
        <v>19551</v>
      </c>
      <c r="V7" s="134" t="n">
        <f aca="false">IF(D7="GBP",Assumptions!$C$74,IF(D7="USD",Assumptions!$C$75,1))</f>
        <v>0.8726</v>
      </c>
      <c r="W7" s="71" t="n">
        <f aca="false">T7/V7</f>
        <v>61630.7930323172</v>
      </c>
      <c r="X7" s="71" t="n">
        <f aca="false">U7/V7</f>
        <v>22405.454962182</v>
      </c>
    </row>
    <row r="8" customFormat="false" ht="15" hidden="false" customHeight="false" outlineLevel="0" collapsed="false">
      <c r="A8" s="131" t="s">
        <v>1443</v>
      </c>
      <c r="B8" s="131" t="s">
        <v>665</v>
      </c>
      <c r="C8" s="131" t="s">
        <v>1440</v>
      </c>
      <c r="D8" s="131" t="s">
        <v>663</v>
      </c>
      <c r="E8" s="131" t="s">
        <v>1441</v>
      </c>
      <c r="F8" s="62" t="n">
        <f aca="false">IF(E8="EE",Assumptions!$C$18,0)</f>
        <v>0</v>
      </c>
      <c r="G8" s="118" t="n">
        <v>2022</v>
      </c>
      <c r="H8" s="131" t="s">
        <v>1444</v>
      </c>
      <c r="I8" s="118" t="n">
        <v>30</v>
      </c>
      <c r="J8" s="132" t="n">
        <f aca="false">I8+Assumptions!$F$124</f>
        <v>30</v>
      </c>
      <c r="K8" s="133" t="n">
        <v>0</v>
      </c>
      <c r="L8" s="103" t="n">
        <v>0</v>
      </c>
      <c r="M8" s="130" t="n">
        <v>0</v>
      </c>
      <c r="N8" s="116"/>
      <c r="O8" s="62" t="str">
        <f aca="false">"n/a"</f>
        <v>n/a</v>
      </c>
      <c r="P8" s="62" t="n">
        <v>0</v>
      </c>
      <c r="Q8" s="103" t="n">
        <v>55000</v>
      </c>
      <c r="R8" s="130" t="n">
        <v>0.1</v>
      </c>
      <c r="S8" s="133" t="n">
        <v>60</v>
      </c>
      <c r="T8" s="103" t="n">
        <v>68453.78</v>
      </c>
      <c r="U8" s="103" t="n">
        <v>0</v>
      </c>
      <c r="V8" s="134" t="n">
        <f aca="false">IF(D8="GBP",Assumptions!$C$74,IF(D8="USD",Assumptions!$C$75,1))</f>
        <v>0.8726</v>
      </c>
      <c r="W8" s="71" t="n">
        <f aca="false">T8/V8</f>
        <v>78448.0632592253</v>
      </c>
      <c r="X8" s="71" t="n">
        <f aca="false">U8/V8</f>
        <v>0</v>
      </c>
    </row>
    <row r="9" customFormat="false" ht="15" hidden="false" customHeight="false" outlineLevel="0" collapsed="false">
      <c r="A9" s="131" t="s">
        <v>1445</v>
      </c>
      <c r="B9" s="131" t="s">
        <v>666</v>
      </c>
      <c r="C9" s="131" t="s">
        <v>1440</v>
      </c>
      <c r="D9" s="131" t="s">
        <v>663</v>
      </c>
      <c r="E9" s="131" t="s">
        <v>1441</v>
      </c>
      <c r="F9" s="62" t="n">
        <f aca="false">IF(E9="EE",Assumptions!$C$18,0)</f>
        <v>0</v>
      </c>
      <c r="G9" s="118" t="n">
        <v>2026</v>
      </c>
      <c r="H9" s="131" t="s">
        <v>1446</v>
      </c>
      <c r="I9" s="118" t="n">
        <v>30</v>
      </c>
      <c r="J9" s="132" t="n">
        <f aca="false">I9+Assumptions!$F$124</f>
        <v>30</v>
      </c>
      <c r="K9" s="133" t="n">
        <v>0</v>
      </c>
      <c r="L9" s="103" t="n">
        <v>0</v>
      </c>
      <c r="M9" s="130" t="n">
        <v>0</v>
      </c>
      <c r="N9" s="116"/>
      <c r="O9" s="62" t="str">
        <f aca="false">"n/a"</f>
        <v>n/a</v>
      </c>
      <c r="P9" s="62" t="n">
        <v>0</v>
      </c>
      <c r="Q9" s="103" t="n">
        <v>0</v>
      </c>
      <c r="R9" s="130" t="n">
        <v>0</v>
      </c>
      <c r="S9" s="133" t="n">
        <v>0</v>
      </c>
      <c r="T9" s="103" t="n">
        <v>0</v>
      </c>
      <c r="U9" s="103" t="n">
        <v>0</v>
      </c>
      <c r="V9" s="134" t="n">
        <f aca="false">IF(D9="GBP",Assumptions!$C$74,IF(D9="USD",Assumptions!$C$75,1))</f>
        <v>0.8726</v>
      </c>
      <c r="W9" s="71" t="n">
        <f aca="false">T9/V9</f>
        <v>0</v>
      </c>
      <c r="X9" s="71" t="n">
        <f aca="false">U9/V9</f>
        <v>0</v>
      </c>
    </row>
    <row r="10" customFormat="false" ht="15" hidden="false" customHeight="false" outlineLevel="0" collapsed="false">
      <c r="A10" s="131" t="s">
        <v>1447</v>
      </c>
      <c r="B10" s="131" t="s">
        <v>667</v>
      </c>
      <c r="C10" s="131" t="s">
        <v>1440</v>
      </c>
      <c r="D10" s="131" t="s">
        <v>663</v>
      </c>
      <c r="E10" s="131" t="s">
        <v>1441</v>
      </c>
      <c r="F10" s="62" t="n">
        <f aca="false">IF(E10="EE",Assumptions!$C$18,0)</f>
        <v>0</v>
      </c>
      <c r="G10" s="118" t="n">
        <v>2024</v>
      </c>
      <c r="H10" s="131" t="s">
        <v>1448</v>
      </c>
      <c r="I10" s="118" t="n">
        <v>45</v>
      </c>
      <c r="J10" s="132" t="n">
        <f aca="false">I10+Assumptions!$F$124</f>
        <v>45</v>
      </c>
      <c r="K10" s="133" t="n">
        <v>220</v>
      </c>
      <c r="L10" s="103" t="n">
        <v>88</v>
      </c>
      <c r="M10" s="130" t="n">
        <v>0.09</v>
      </c>
      <c r="N10" s="116" t="n">
        <v>45107</v>
      </c>
      <c r="O10" s="62" t="n">
        <f aca="false">IFERROR(1-SUMIFS(Inputs_Actuals!$E$91:$AB$91,Assumptions!$E$100:$AB$100,"A")/(SUMIFS(Inputs_Actuals!$E$90:$AB$90,Assumptions!$E$100:$AB$100,"A")*L10),"n/a")</f>
        <v>0.085122845868055</v>
      </c>
      <c r="P10" s="62" t="n">
        <f aca="false">MAX(0,IF(ISNUMBER(O10),O10,M10)+Assumptions!$F$120)</f>
        <v>0.085122845868055</v>
      </c>
      <c r="Q10" s="103" t="n">
        <v>0</v>
      </c>
      <c r="R10" s="130" t="n">
        <v>0</v>
      </c>
      <c r="S10" s="133" t="n">
        <v>0</v>
      </c>
      <c r="T10" s="103" t="n">
        <v>27412.16</v>
      </c>
      <c r="U10" s="103" t="n">
        <v>14195.39</v>
      </c>
      <c r="V10" s="134" t="n">
        <f aca="false">IF(D10="GBP",Assumptions!$C$74,IF(D10="USD",Assumptions!$C$75,1))</f>
        <v>0.8726</v>
      </c>
      <c r="W10" s="71" t="n">
        <f aca="false">T10/V10</f>
        <v>31414.3479257392</v>
      </c>
      <c r="X10" s="71" t="n">
        <f aca="false">U10/V10</f>
        <v>16267.9234471694</v>
      </c>
    </row>
    <row r="11" customFormat="false" ht="15" hidden="false" customHeight="false" outlineLevel="0" collapsed="false">
      <c r="A11" s="131" t="s">
        <v>1449</v>
      </c>
      <c r="B11" s="131" t="s">
        <v>668</v>
      </c>
      <c r="C11" s="131" t="s">
        <v>1440</v>
      </c>
      <c r="D11" s="131" t="s">
        <v>663</v>
      </c>
      <c r="E11" s="131" t="s">
        <v>1441</v>
      </c>
      <c r="F11" s="62" t="n">
        <f aca="false">IF(E11="EE",Assumptions!$C$18,0)</f>
        <v>0</v>
      </c>
      <c r="G11" s="118" t="n">
        <v>2025</v>
      </c>
      <c r="H11" s="131" t="s">
        <v>1450</v>
      </c>
      <c r="I11" s="118" t="n">
        <v>30</v>
      </c>
      <c r="J11" s="132" t="n">
        <f aca="false">I11+Assumptions!$F$124</f>
        <v>30</v>
      </c>
      <c r="K11" s="133" t="n">
        <v>60</v>
      </c>
      <c r="L11" s="103" t="n">
        <v>85</v>
      </c>
      <c r="M11" s="130" t="n">
        <v>0.05</v>
      </c>
      <c r="N11" s="116" t="n">
        <v>46326</v>
      </c>
      <c r="O11" s="62" t="str">
        <f aca="false">IFERROR(1-SUMIFS(Inputs_Actuals!$E$97:$AB$97,Assumptions!$E$100:$AB$100,"A")/(SUMIFS(Inputs_Actuals!$E$96:$AB$96,Assumptions!$E$100:$AB$100,"A")*L11),"n/a")</f>
        <v>n/a</v>
      </c>
      <c r="P11" s="62" t="n">
        <f aca="false">MAX(0,IF(ISNUMBER(O11),O11,M11)+Assumptions!$F$120)</f>
        <v>0.05</v>
      </c>
      <c r="Q11" s="103" t="n">
        <v>0</v>
      </c>
      <c r="R11" s="130" t="n">
        <v>0</v>
      </c>
      <c r="S11" s="133" t="n">
        <v>0</v>
      </c>
      <c r="T11" s="103" t="n">
        <v>0</v>
      </c>
      <c r="U11" s="103" t="n">
        <v>0</v>
      </c>
      <c r="V11" s="134" t="n">
        <f aca="false">IF(D11="GBP",Assumptions!$C$74,IF(D11="USD",Assumptions!$C$75,1))</f>
        <v>0.8726</v>
      </c>
      <c r="W11" s="71" t="n">
        <f aca="false">T11/V11</f>
        <v>0</v>
      </c>
      <c r="X11" s="71" t="n">
        <f aca="false">U11/V11</f>
        <v>0</v>
      </c>
    </row>
    <row r="12" customFormat="false" ht="15" hidden="false" customHeight="false" outlineLevel="0" collapsed="false">
      <c r="A12" s="131" t="s">
        <v>1451</v>
      </c>
      <c r="B12" s="131" t="s">
        <v>669</v>
      </c>
      <c r="C12" s="131" t="s">
        <v>1440</v>
      </c>
      <c r="D12" s="131" t="s">
        <v>663</v>
      </c>
      <c r="E12" s="131" t="s">
        <v>1441</v>
      </c>
      <c r="F12" s="62" t="n">
        <f aca="false">IF(E12="EE",Assumptions!$C$18,0)</f>
        <v>0</v>
      </c>
      <c r="G12" s="118" t="n">
        <v>2024</v>
      </c>
      <c r="H12" s="131" t="s">
        <v>1452</v>
      </c>
      <c r="I12" s="118" t="n">
        <v>30</v>
      </c>
      <c r="J12" s="132" t="n">
        <f aca="false">I12+Assumptions!$F$124</f>
        <v>30</v>
      </c>
      <c r="K12" s="133" t="n">
        <v>0</v>
      </c>
      <c r="L12" s="103" t="n">
        <v>0</v>
      </c>
      <c r="M12" s="130" t="n">
        <v>0</v>
      </c>
      <c r="N12" s="116"/>
      <c r="O12" s="62" t="str">
        <f aca="false">"n/a"</f>
        <v>n/a</v>
      </c>
      <c r="P12" s="62" t="n">
        <v>0</v>
      </c>
      <c r="Q12" s="103" t="n">
        <v>0</v>
      </c>
      <c r="R12" s="130" t="n">
        <v>0</v>
      </c>
      <c r="S12" s="133" t="n">
        <v>0</v>
      </c>
      <c r="T12" s="103" t="n">
        <v>19473.86</v>
      </c>
      <c r="U12" s="103" t="n">
        <v>22252.8</v>
      </c>
      <c r="V12" s="134" t="n">
        <f aca="false">IF(D12="GBP",Assumptions!$C$74,IF(D12="USD",Assumptions!$C$75,1))</f>
        <v>0.8726</v>
      </c>
      <c r="W12" s="71" t="n">
        <f aca="false">T12/V12</f>
        <v>22317.052486821</v>
      </c>
      <c r="X12" s="71" t="n">
        <f aca="false">U12/V12</f>
        <v>25501.7190006876</v>
      </c>
    </row>
    <row r="13" customFormat="false" ht="15" hidden="false" customHeight="false" outlineLevel="0" collapsed="false">
      <c r="A13" s="131" t="s">
        <v>1453</v>
      </c>
      <c r="B13" s="131" t="s">
        <v>670</v>
      </c>
      <c r="C13" s="131" t="s">
        <v>1440</v>
      </c>
      <c r="D13" s="131" t="s">
        <v>663</v>
      </c>
      <c r="E13" s="131" t="s">
        <v>1441</v>
      </c>
      <c r="F13" s="62" t="n">
        <f aca="false">IF(E13="EE",Assumptions!$C$18,0)</f>
        <v>0</v>
      </c>
      <c r="G13" s="118" t="n">
        <v>2026</v>
      </c>
      <c r="H13" s="131" t="s">
        <v>1454</v>
      </c>
      <c r="I13" s="118" t="n">
        <v>30</v>
      </c>
      <c r="J13" s="132" t="n">
        <f aca="false">I13+Assumptions!$F$124</f>
        <v>30</v>
      </c>
      <c r="K13" s="133" t="n">
        <v>0</v>
      </c>
      <c r="L13" s="103" t="n">
        <v>0</v>
      </c>
      <c r="M13" s="130" t="n">
        <v>0</v>
      </c>
      <c r="N13" s="116"/>
      <c r="O13" s="62" t="str">
        <f aca="false">"n/a"</f>
        <v>n/a</v>
      </c>
      <c r="P13" s="62" t="n">
        <v>0</v>
      </c>
      <c r="Q13" s="103" t="n">
        <v>0</v>
      </c>
      <c r="R13" s="130" t="n">
        <v>0</v>
      </c>
      <c r="S13" s="133" t="n">
        <v>0</v>
      </c>
      <c r="T13" s="103" t="n">
        <v>0</v>
      </c>
      <c r="U13" s="103" t="n">
        <v>0</v>
      </c>
      <c r="V13" s="134" t="n">
        <f aca="false">IF(D13="GBP",Assumptions!$C$74,IF(D13="USD",Assumptions!$C$75,1))</f>
        <v>0.8726</v>
      </c>
      <c r="W13" s="71" t="n">
        <f aca="false">T13/V13</f>
        <v>0</v>
      </c>
      <c r="X13" s="71" t="n">
        <f aca="false">U13/V13</f>
        <v>0</v>
      </c>
    </row>
    <row r="14" customFormat="false" ht="15" hidden="false" customHeight="false" outlineLevel="0" collapsed="false">
      <c r="A14" s="131" t="s">
        <v>1455</v>
      </c>
      <c r="B14" s="131" t="s">
        <v>671</v>
      </c>
      <c r="C14" s="131" t="s">
        <v>1456</v>
      </c>
      <c r="D14" s="131" t="s">
        <v>672</v>
      </c>
      <c r="E14" s="131" t="s">
        <v>1441</v>
      </c>
      <c r="F14" s="62" t="n">
        <f aca="false">IF(E14="EE",Assumptions!$C$18,0)</f>
        <v>0</v>
      </c>
      <c r="G14" s="118" t="n">
        <v>2026</v>
      </c>
      <c r="H14" s="131" t="s">
        <v>1457</v>
      </c>
      <c r="I14" s="118" t="n">
        <v>45</v>
      </c>
      <c r="J14" s="132" t="n">
        <f aca="false">I14+Assumptions!$F$124</f>
        <v>45</v>
      </c>
      <c r="K14" s="133" t="n">
        <v>0</v>
      </c>
      <c r="L14" s="103" t="n">
        <v>0</v>
      </c>
      <c r="M14" s="130" t="n">
        <v>0</v>
      </c>
      <c r="N14" s="116"/>
      <c r="O14" s="62" t="str">
        <f aca="false">"n/a"</f>
        <v>n/a</v>
      </c>
      <c r="P14" s="62" t="n">
        <v>0</v>
      </c>
      <c r="Q14" s="103" t="n">
        <v>0</v>
      </c>
      <c r="R14" s="130" t="n">
        <v>0</v>
      </c>
      <c r="S14" s="133" t="n">
        <v>0</v>
      </c>
      <c r="T14" s="103" t="n">
        <v>0</v>
      </c>
      <c r="U14" s="103" t="n">
        <v>0</v>
      </c>
      <c r="V14" s="134" t="n">
        <f aca="false">IF(D14="GBP",Assumptions!$C$74,IF(D14="USD",Assumptions!$C$75,1))</f>
        <v>1.175</v>
      </c>
      <c r="W14" s="71" t="n">
        <f aca="false">T14/V14</f>
        <v>0</v>
      </c>
      <c r="X14" s="71" t="n">
        <f aca="false">U14/V14</f>
        <v>0</v>
      </c>
    </row>
    <row r="15" customFormat="false" ht="15" hidden="false" customHeight="false" outlineLevel="0" collapsed="false">
      <c r="A15" s="131" t="s">
        <v>1458</v>
      </c>
      <c r="B15" s="131" t="s">
        <v>673</v>
      </c>
      <c r="C15" s="131" t="s">
        <v>1456</v>
      </c>
      <c r="D15" s="131" t="s">
        <v>672</v>
      </c>
      <c r="E15" s="131" t="s">
        <v>1441</v>
      </c>
      <c r="F15" s="62" t="n">
        <f aca="false">IF(E15="EE",Assumptions!$C$18,0)</f>
        <v>0</v>
      </c>
      <c r="G15" s="118" t="n">
        <v>2023</v>
      </c>
      <c r="H15" s="131" t="s">
        <v>1459</v>
      </c>
      <c r="I15" s="118" t="n">
        <v>60</v>
      </c>
      <c r="J15" s="132" t="n">
        <f aca="false">I15+Assumptions!$F$124</f>
        <v>60</v>
      </c>
      <c r="K15" s="133" t="n">
        <v>0</v>
      </c>
      <c r="L15" s="103" t="n">
        <v>0</v>
      </c>
      <c r="M15" s="130" t="n">
        <v>0</v>
      </c>
      <c r="N15" s="116"/>
      <c r="O15" s="62" t="str">
        <f aca="false">"n/a"</f>
        <v>n/a</v>
      </c>
      <c r="P15" s="62" t="n">
        <v>0</v>
      </c>
      <c r="Q15" s="103" t="n">
        <v>90000</v>
      </c>
      <c r="R15" s="130" t="n">
        <v>0.09</v>
      </c>
      <c r="S15" s="133" t="n">
        <v>70</v>
      </c>
      <c r="T15" s="103" t="n">
        <v>253672.25</v>
      </c>
      <c r="U15" s="103" t="n">
        <v>0</v>
      </c>
      <c r="V15" s="134" t="n">
        <f aca="false">IF(D15="GBP",Assumptions!$C$74,IF(D15="USD",Assumptions!$C$75,1))</f>
        <v>1.175</v>
      </c>
      <c r="W15" s="71" t="n">
        <f aca="false">T15/V15</f>
        <v>215891.276595745</v>
      </c>
      <c r="X15" s="71" t="n">
        <f aca="false">U15/V15</f>
        <v>0</v>
      </c>
    </row>
    <row r="16" customFormat="false" ht="15" hidden="false" customHeight="false" outlineLevel="0" collapsed="false">
      <c r="A16" s="131" t="s">
        <v>1460</v>
      </c>
      <c r="B16" s="131" t="s">
        <v>674</v>
      </c>
      <c r="C16" s="131" t="s">
        <v>1456</v>
      </c>
      <c r="D16" s="131" t="s">
        <v>672</v>
      </c>
      <c r="E16" s="131" t="s">
        <v>1441</v>
      </c>
      <c r="F16" s="62" t="n">
        <f aca="false">IF(E16="EE",Assumptions!$C$18,0)</f>
        <v>0</v>
      </c>
      <c r="G16" s="118" t="n">
        <v>2025</v>
      </c>
      <c r="H16" s="131" t="s">
        <v>1461</v>
      </c>
      <c r="I16" s="118" t="n">
        <v>45</v>
      </c>
      <c r="J16" s="132" t="n">
        <f aca="false">I16+Assumptions!$F$124</f>
        <v>45</v>
      </c>
      <c r="K16" s="133" t="n">
        <v>0</v>
      </c>
      <c r="L16" s="103" t="n">
        <v>0</v>
      </c>
      <c r="M16" s="130" t="n">
        <v>0</v>
      </c>
      <c r="N16" s="116"/>
      <c r="O16" s="62" t="str">
        <f aca="false">"n/a"</f>
        <v>n/a</v>
      </c>
      <c r="P16" s="62" t="n">
        <v>0</v>
      </c>
      <c r="Q16" s="103" t="n">
        <v>0</v>
      </c>
      <c r="R16" s="130" t="n">
        <v>0</v>
      </c>
      <c r="S16" s="133" t="n">
        <v>0</v>
      </c>
      <c r="T16" s="103" t="n">
        <v>0</v>
      </c>
      <c r="U16" s="103" t="n">
        <v>0</v>
      </c>
      <c r="V16" s="134" t="n">
        <f aca="false">IF(D16="GBP",Assumptions!$C$74,IF(D16="USD",Assumptions!$C$75,1))</f>
        <v>1.175</v>
      </c>
      <c r="W16" s="71" t="n">
        <f aca="false">T16/V16</f>
        <v>0</v>
      </c>
      <c r="X16" s="71" t="n">
        <f aca="false">U16/V16</f>
        <v>0</v>
      </c>
    </row>
    <row r="17" customFormat="false" ht="15" hidden="false" customHeight="false" outlineLevel="0" collapsed="false">
      <c r="A17" s="131" t="s">
        <v>1462</v>
      </c>
      <c r="B17" s="131" t="s">
        <v>675</v>
      </c>
      <c r="C17" s="131" t="s">
        <v>1463</v>
      </c>
      <c r="D17" s="131" t="s">
        <v>524</v>
      </c>
      <c r="E17" s="131" t="s">
        <v>1464</v>
      </c>
      <c r="F17" s="62" t="n">
        <f aca="false">IF(E17="EE",Assumptions!$C$18,0)</f>
        <v>0</v>
      </c>
      <c r="G17" s="118" t="n">
        <v>2023</v>
      </c>
      <c r="H17" s="131" t="s">
        <v>1465</v>
      </c>
      <c r="I17" s="118" t="n">
        <v>30</v>
      </c>
      <c r="J17" s="132" t="n">
        <f aca="false">I17+Assumptions!$F$124</f>
        <v>30</v>
      </c>
      <c r="K17" s="133" t="n">
        <v>0</v>
      </c>
      <c r="L17" s="103" t="n">
        <v>0</v>
      </c>
      <c r="M17" s="130" t="n">
        <v>0</v>
      </c>
      <c r="N17" s="116"/>
      <c r="O17" s="62" t="str">
        <f aca="false">"n/a"</f>
        <v>n/a</v>
      </c>
      <c r="P17" s="62" t="n">
        <v>0</v>
      </c>
      <c r="Q17" s="103" t="n">
        <v>0</v>
      </c>
      <c r="R17" s="130" t="n">
        <v>0</v>
      </c>
      <c r="S17" s="133" t="n">
        <v>0</v>
      </c>
      <c r="T17" s="103" t="n">
        <v>18099.2</v>
      </c>
      <c r="U17" s="103" t="n">
        <v>0</v>
      </c>
      <c r="V17" s="134" t="n">
        <f aca="false">IF(D17="GBP",Assumptions!$C$74,IF(D17="USD",Assumptions!$C$75,1))</f>
        <v>1</v>
      </c>
      <c r="W17" s="71" t="n">
        <f aca="false">T17/V17</f>
        <v>18099.2</v>
      </c>
      <c r="X17" s="71" t="n">
        <f aca="false">U17/V17</f>
        <v>0</v>
      </c>
    </row>
    <row r="18" customFormat="false" ht="15" hidden="false" customHeight="false" outlineLevel="0" collapsed="false">
      <c r="A18" s="131" t="s">
        <v>1466</v>
      </c>
      <c r="B18" s="131" t="s">
        <v>676</v>
      </c>
      <c r="C18" s="131" t="s">
        <v>1467</v>
      </c>
      <c r="D18" s="131" t="s">
        <v>524</v>
      </c>
      <c r="E18" s="131" t="s">
        <v>1464</v>
      </c>
      <c r="F18" s="62" t="n">
        <f aca="false">IF(E18="EE",Assumptions!$C$18,0)</f>
        <v>0</v>
      </c>
      <c r="G18" s="118" t="n">
        <v>2024</v>
      </c>
      <c r="H18" s="131" t="s">
        <v>1468</v>
      </c>
      <c r="I18" s="118" t="n">
        <v>30</v>
      </c>
      <c r="J18" s="132" t="n">
        <f aca="false">I18+Assumptions!$F$124</f>
        <v>30</v>
      </c>
      <c r="K18" s="133" t="n">
        <v>0</v>
      </c>
      <c r="L18" s="103" t="n">
        <v>0</v>
      </c>
      <c r="M18" s="130" t="n">
        <v>0</v>
      </c>
      <c r="N18" s="116"/>
      <c r="O18" s="62" t="str">
        <f aca="false">"n/a"</f>
        <v>n/a</v>
      </c>
      <c r="P18" s="62" t="n">
        <v>0</v>
      </c>
      <c r="Q18" s="103" t="n">
        <v>40000</v>
      </c>
      <c r="R18" s="130" t="n">
        <v>0.1</v>
      </c>
      <c r="S18" s="133" t="n">
        <v>45</v>
      </c>
      <c r="T18" s="103" t="n">
        <v>47504.47</v>
      </c>
      <c r="U18" s="103" t="n">
        <v>0</v>
      </c>
      <c r="V18" s="134" t="n">
        <f aca="false">IF(D18="GBP",Assumptions!$C$74,IF(D18="USD",Assumptions!$C$75,1))</f>
        <v>1</v>
      </c>
      <c r="W18" s="71" t="n">
        <f aca="false">T18/V18</f>
        <v>47504.47</v>
      </c>
      <c r="X18" s="71" t="n">
        <f aca="false">U18/V18</f>
        <v>-0</v>
      </c>
    </row>
    <row r="19" customFormat="false" ht="15" hidden="false" customHeight="false" outlineLevel="0" collapsed="false">
      <c r="A19" s="131" t="s">
        <v>1469</v>
      </c>
      <c r="B19" s="131" t="s">
        <v>677</v>
      </c>
      <c r="C19" s="131" t="s">
        <v>1467</v>
      </c>
      <c r="D19" s="131" t="s">
        <v>524</v>
      </c>
      <c r="E19" s="131" t="s">
        <v>1464</v>
      </c>
      <c r="F19" s="62" t="n">
        <f aca="false">IF(E19="EE",Assumptions!$C$18,0)</f>
        <v>0</v>
      </c>
      <c r="G19" s="118" t="n">
        <v>2025</v>
      </c>
      <c r="H19" s="131" t="s">
        <v>1470</v>
      </c>
      <c r="I19" s="118" t="n">
        <v>30</v>
      </c>
      <c r="J19" s="132" t="n">
        <f aca="false">I19+Assumptions!$F$124</f>
        <v>30</v>
      </c>
      <c r="K19" s="133" t="n">
        <v>0</v>
      </c>
      <c r="L19" s="103" t="n">
        <v>0</v>
      </c>
      <c r="M19" s="130" t="n">
        <v>0</v>
      </c>
      <c r="N19" s="116"/>
      <c r="O19" s="62" t="str">
        <f aca="false">"n/a"</f>
        <v>n/a</v>
      </c>
      <c r="P19" s="62" t="n">
        <v>0</v>
      </c>
      <c r="Q19" s="103" t="n">
        <v>30000</v>
      </c>
      <c r="R19" s="130" t="n">
        <v>0.1</v>
      </c>
      <c r="S19" s="133" t="n">
        <v>40</v>
      </c>
      <c r="T19" s="103" t="n">
        <v>52537.45</v>
      </c>
      <c r="U19" s="103" t="n">
        <v>0</v>
      </c>
      <c r="V19" s="134" t="n">
        <f aca="false">IF(D19="GBP",Assumptions!$C$74,IF(D19="USD",Assumptions!$C$75,1))</f>
        <v>1</v>
      </c>
      <c r="W19" s="71" t="n">
        <f aca="false">T19/V19</f>
        <v>52537.45</v>
      </c>
      <c r="X19" s="71" t="n">
        <f aca="false">U19/V19</f>
        <v>-0</v>
      </c>
    </row>
    <row r="20" customFormat="false" ht="15" hidden="false" customHeight="false" outlineLevel="0" collapsed="false">
      <c r="A20" s="131" t="s">
        <v>1471</v>
      </c>
      <c r="B20" s="131" t="s">
        <v>678</v>
      </c>
      <c r="C20" s="131" t="s">
        <v>1467</v>
      </c>
      <c r="D20" s="131" t="s">
        <v>524</v>
      </c>
      <c r="E20" s="131" t="s">
        <v>1464</v>
      </c>
      <c r="F20" s="62" t="n">
        <f aca="false">IF(E20="EE",Assumptions!$C$18,0)</f>
        <v>0</v>
      </c>
      <c r="G20" s="118" t="n">
        <v>2026</v>
      </c>
      <c r="H20" s="131" t="s">
        <v>1472</v>
      </c>
      <c r="I20" s="118" t="n">
        <v>30</v>
      </c>
      <c r="J20" s="132" t="n">
        <f aca="false">I20+Assumptions!$F$124</f>
        <v>30</v>
      </c>
      <c r="K20" s="133" t="n">
        <v>0</v>
      </c>
      <c r="L20" s="103" t="n">
        <v>0</v>
      </c>
      <c r="M20" s="130" t="n">
        <v>0</v>
      </c>
      <c r="N20" s="116"/>
      <c r="O20" s="62" t="str">
        <f aca="false">"n/a"</f>
        <v>n/a</v>
      </c>
      <c r="P20" s="62" t="n">
        <v>0</v>
      </c>
      <c r="Q20" s="103" t="n">
        <v>0</v>
      </c>
      <c r="R20" s="130" t="n">
        <v>0</v>
      </c>
      <c r="S20" s="133" t="n">
        <v>0</v>
      </c>
      <c r="T20" s="103" t="n">
        <v>0</v>
      </c>
      <c r="U20" s="103" t="n">
        <v>0</v>
      </c>
      <c r="V20" s="134" t="n">
        <f aca="false">IF(D20="GBP",Assumptions!$C$74,IF(D20="USD",Assumptions!$C$75,1))</f>
        <v>1</v>
      </c>
      <c r="W20" s="71" t="n">
        <f aca="false">T20/V20</f>
        <v>0</v>
      </c>
      <c r="X20" s="71" t="n">
        <f aca="false">U20/V20</f>
        <v>0</v>
      </c>
    </row>
    <row r="21" customFormat="false" ht="15" hidden="false" customHeight="false" outlineLevel="0" collapsed="false">
      <c r="A21" s="131" t="s">
        <v>1473</v>
      </c>
      <c r="B21" s="131" t="s">
        <v>679</v>
      </c>
      <c r="C21" s="131" t="s">
        <v>1474</v>
      </c>
      <c r="D21" s="131" t="s">
        <v>524</v>
      </c>
      <c r="E21" s="131" t="s">
        <v>1464</v>
      </c>
      <c r="F21" s="62" t="n">
        <f aca="false">IF(E21="EE",Assumptions!$C$18,0)</f>
        <v>0</v>
      </c>
      <c r="G21" s="118" t="n">
        <v>2022</v>
      </c>
      <c r="H21" s="131" t="s">
        <v>1475</v>
      </c>
      <c r="I21" s="118" t="n">
        <v>21</v>
      </c>
      <c r="J21" s="132" t="n">
        <f aca="false">I21+Assumptions!$F$124</f>
        <v>21</v>
      </c>
      <c r="K21" s="133" t="n">
        <v>0</v>
      </c>
      <c r="L21" s="103" t="n">
        <v>0</v>
      </c>
      <c r="M21" s="130" t="n">
        <v>0</v>
      </c>
      <c r="N21" s="116"/>
      <c r="O21" s="62" t="str">
        <f aca="false">"n/a"</f>
        <v>n/a</v>
      </c>
      <c r="P21" s="62" t="n">
        <v>0</v>
      </c>
      <c r="Q21" s="103" t="n">
        <v>0</v>
      </c>
      <c r="R21" s="130" t="n">
        <v>0</v>
      </c>
      <c r="S21" s="133" t="n">
        <v>0</v>
      </c>
      <c r="T21" s="103" t="n">
        <v>10042.96</v>
      </c>
      <c r="U21" s="103" t="n">
        <v>0</v>
      </c>
      <c r="V21" s="134" t="n">
        <f aca="false">IF(D21="GBP",Assumptions!$C$74,IF(D21="USD",Assumptions!$C$75,1))</f>
        <v>1</v>
      </c>
      <c r="W21" s="71" t="n">
        <f aca="false">T21/V21</f>
        <v>10042.96</v>
      </c>
      <c r="X21" s="71" t="n">
        <f aca="false">U21/V21</f>
        <v>0</v>
      </c>
    </row>
    <row r="22" customFormat="false" ht="15" hidden="false" customHeight="false" outlineLevel="0" collapsed="false">
      <c r="A22" s="131" t="s">
        <v>1476</v>
      </c>
      <c r="B22" s="131" t="s">
        <v>681</v>
      </c>
      <c r="C22" s="131" t="s">
        <v>1477</v>
      </c>
      <c r="D22" s="131" t="s">
        <v>524</v>
      </c>
      <c r="E22" s="131" t="s">
        <v>1464</v>
      </c>
      <c r="F22" s="62" t="n">
        <f aca="false">IF(E22="EE",Assumptions!$C$18,0)</f>
        <v>0</v>
      </c>
      <c r="G22" s="118" t="n">
        <v>2025</v>
      </c>
      <c r="H22" s="131" t="s">
        <v>1478</v>
      </c>
      <c r="I22" s="118" t="n">
        <v>30</v>
      </c>
      <c r="J22" s="132" t="n">
        <f aca="false">I22+Assumptions!$F$124</f>
        <v>30</v>
      </c>
      <c r="K22" s="133" t="n">
        <v>90</v>
      </c>
      <c r="L22" s="103" t="n">
        <v>98</v>
      </c>
      <c r="M22" s="130" t="n">
        <v>0.06</v>
      </c>
      <c r="N22" s="116" t="n">
        <v>46112</v>
      </c>
      <c r="O22" s="62" t="n">
        <f aca="false">IFERROR(1-SUMIFS(Inputs_Actuals!$E$94:$AB$94,Assumptions!$E$100:$AB$100,"A")/(SUMIFS(Inputs_Actuals!$E$93:$AB$93,Assumptions!$E$100:$AB$100,"A")*L22),"n/a")</f>
        <v>0.0566267709124853</v>
      </c>
      <c r="P22" s="62" t="n">
        <f aca="false">MAX(0,IF(ISNUMBER(O22),O22,M22)+Assumptions!$F$120)</f>
        <v>0.0566267709124853</v>
      </c>
      <c r="Q22" s="103" t="n">
        <v>0</v>
      </c>
      <c r="R22" s="130" t="n">
        <v>0</v>
      </c>
      <c r="S22" s="133" t="n">
        <v>0</v>
      </c>
      <c r="T22" s="103" t="n">
        <v>0</v>
      </c>
      <c r="U22" s="103" t="n">
        <v>7107.89</v>
      </c>
      <c r="V22" s="134" t="n">
        <f aca="false">IF(D22="GBP",Assumptions!$C$74,IF(D22="USD",Assumptions!$C$75,1))</f>
        <v>1</v>
      </c>
      <c r="W22" s="71" t="n">
        <f aca="false">T22/V22</f>
        <v>0</v>
      </c>
      <c r="X22" s="71" t="n">
        <f aca="false">U22/V22</f>
        <v>7107.89</v>
      </c>
    </row>
    <row r="23" customFormat="false" ht="15" hidden="false" customHeight="false" outlineLevel="0" collapsed="false">
      <c r="A23" s="131" t="s">
        <v>1479</v>
      </c>
      <c r="B23" s="131" t="s">
        <v>682</v>
      </c>
      <c r="C23" s="131" t="s">
        <v>1480</v>
      </c>
      <c r="D23" s="131" t="s">
        <v>524</v>
      </c>
      <c r="E23" s="131" t="s">
        <v>1481</v>
      </c>
      <c r="F23" s="62" t="n">
        <f aca="false">IF(E23="EE",Assumptions!$C$18,0)</f>
        <v>0.24</v>
      </c>
      <c r="G23" s="118" t="n">
        <v>2020</v>
      </c>
      <c r="H23" s="131" t="s">
        <v>1482</v>
      </c>
      <c r="I23" s="118" t="n">
        <v>14</v>
      </c>
      <c r="J23" s="132" t="n">
        <f aca="false">I23+Assumptions!$F$124</f>
        <v>14</v>
      </c>
      <c r="K23" s="133" t="n">
        <v>0</v>
      </c>
      <c r="L23" s="103" t="n">
        <v>0</v>
      </c>
      <c r="M23" s="130" t="n">
        <v>0</v>
      </c>
      <c r="N23" s="116"/>
      <c r="O23" s="62" t="str">
        <f aca="false">"n/a"</f>
        <v>n/a</v>
      </c>
      <c r="P23" s="62" t="n">
        <v>0</v>
      </c>
      <c r="Q23" s="103" t="n">
        <v>22000</v>
      </c>
      <c r="R23" s="130" t="n">
        <v>0.12</v>
      </c>
      <c r="S23" s="133" t="n">
        <v>30</v>
      </c>
      <c r="T23" s="103" t="n">
        <v>22509.09</v>
      </c>
      <c r="U23" s="103" t="n">
        <v>0</v>
      </c>
      <c r="V23" s="134" t="n">
        <f aca="false">IF(D23="GBP",Assumptions!$C$74,IF(D23="USD",Assumptions!$C$75,1))</f>
        <v>1</v>
      </c>
      <c r="W23" s="71" t="n">
        <f aca="false">T23/V23</f>
        <v>22509.09</v>
      </c>
      <c r="X23" s="71" t="n">
        <f aca="false">U23/V23</f>
        <v>0</v>
      </c>
    </row>
    <row r="24" customFormat="false" ht="15" hidden="false" customHeight="false" outlineLevel="0" collapsed="false">
      <c r="A24" s="131" t="s">
        <v>1483</v>
      </c>
      <c r="B24" s="131" t="s">
        <v>683</v>
      </c>
      <c r="C24" s="131" t="s">
        <v>1480</v>
      </c>
      <c r="D24" s="131" t="s">
        <v>524</v>
      </c>
      <c r="E24" s="131" t="s">
        <v>1481</v>
      </c>
      <c r="F24" s="62" t="n">
        <f aca="false">IF(E24="EE",Assumptions!$C$18,0)</f>
        <v>0.24</v>
      </c>
      <c r="G24" s="118" t="n">
        <v>2019</v>
      </c>
      <c r="H24" s="131" t="s">
        <v>1484</v>
      </c>
      <c r="I24" s="118" t="n">
        <v>20</v>
      </c>
      <c r="J24" s="132" t="n">
        <f aca="false">I24+Assumptions!$F$124</f>
        <v>20</v>
      </c>
      <c r="K24" s="133" t="n">
        <v>120</v>
      </c>
      <c r="L24" s="103" t="n">
        <v>92</v>
      </c>
      <c r="M24" s="130" t="n">
        <v>0.12</v>
      </c>
      <c r="N24" s="116" t="n">
        <v>44196</v>
      </c>
      <c r="O24" s="62" t="n">
        <f aca="false">IFERROR(1-SUMIFS(Inputs_Actuals!$E$100:$AB$100,Assumptions!$E$100:$AB$100,"A")/(SUMIFS(Inputs_Actuals!$E$99:$AB$99,Assumptions!$E$100:$AB$100,"A")*L24),"n/a")</f>
        <v>0.131494151992327</v>
      </c>
      <c r="P24" s="62" t="n">
        <f aca="false">MAX(0,IF(ISNUMBER(O24),O24,M24)+Assumptions!$F$120)</f>
        <v>0.131494151992327</v>
      </c>
      <c r="Q24" s="103" t="n">
        <v>0</v>
      </c>
      <c r="R24" s="130" t="n">
        <v>0</v>
      </c>
      <c r="S24" s="133" t="n">
        <v>0</v>
      </c>
      <c r="T24" s="103" t="n">
        <v>7556.06</v>
      </c>
      <c r="U24" s="103" t="n">
        <v>7861.33</v>
      </c>
      <c r="V24" s="134" t="n">
        <f aca="false">IF(D24="GBP",Assumptions!$C$74,IF(D24="USD",Assumptions!$C$75,1))</f>
        <v>1</v>
      </c>
      <c r="W24" s="71" t="n">
        <f aca="false">T24/V24</f>
        <v>7556.06</v>
      </c>
      <c r="X24" s="71" t="n">
        <f aca="false">U24/V24</f>
        <v>7861.33</v>
      </c>
    </row>
    <row r="25" customFormat="false" ht="15" hidden="false" customHeight="false" outlineLevel="0" collapsed="false">
      <c r="A25" s="131" t="s">
        <v>1485</v>
      </c>
      <c r="B25" s="131" t="s">
        <v>684</v>
      </c>
      <c r="C25" s="131" t="s">
        <v>1456</v>
      </c>
      <c r="D25" s="131" t="s">
        <v>672</v>
      </c>
      <c r="E25" s="131" t="s">
        <v>1441</v>
      </c>
      <c r="F25" s="62" t="n">
        <f aca="false">IF(E25="EE",Assumptions!$C$18,0)</f>
        <v>0</v>
      </c>
      <c r="G25" s="118"/>
      <c r="H25" s="131" t="s">
        <v>1486</v>
      </c>
      <c r="I25" s="118" t="n">
        <v>45</v>
      </c>
      <c r="J25" s="132" t="n">
        <f aca="false">I25+Assumptions!$F$124</f>
        <v>45</v>
      </c>
      <c r="K25" s="133" t="n">
        <v>0</v>
      </c>
      <c r="L25" s="103" t="n">
        <v>0</v>
      </c>
      <c r="M25" s="130" t="n">
        <v>0</v>
      </c>
      <c r="N25" s="116"/>
      <c r="O25" s="62" t="str">
        <f aca="false">"n/a"</f>
        <v>n/a</v>
      </c>
      <c r="P25" s="62" t="n">
        <v>0</v>
      </c>
      <c r="Q25" s="103" t="n">
        <v>0</v>
      </c>
      <c r="R25" s="130" t="n">
        <v>0</v>
      </c>
      <c r="S25" s="133" t="n">
        <v>0</v>
      </c>
      <c r="T25" s="103" t="n">
        <v>0</v>
      </c>
      <c r="U25" s="103" t="n">
        <v>0</v>
      </c>
      <c r="V25" s="134" t="n">
        <f aca="false">IF(D25="GBP",Assumptions!$C$74,IF(D25="USD",Assumptions!$C$75,1))</f>
        <v>1.175</v>
      </c>
      <c r="W25" s="71" t="n">
        <f aca="false">T25/V25</f>
        <v>0</v>
      </c>
      <c r="X25" s="71" t="n">
        <f aca="false">U25/V25</f>
        <v>0</v>
      </c>
    </row>
    <row r="26" customFormat="false" ht="15" hidden="false" customHeight="false" outlineLevel="0" collapsed="false">
      <c r="A26" s="131" t="s">
        <v>1487</v>
      </c>
      <c r="B26" s="131" t="s">
        <v>686</v>
      </c>
      <c r="C26" s="131" t="s">
        <v>1440</v>
      </c>
      <c r="D26" s="131" t="s">
        <v>663</v>
      </c>
      <c r="E26" s="131" t="s">
        <v>1441</v>
      </c>
      <c r="F26" s="62" t="n">
        <f aca="false">IF(E26="EE",Assumptions!$C$18,0)</f>
        <v>0</v>
      </c>
      <c r="G26" s="118"/>
      <c r="H26" s="131" t="s">
        <v>1488</v>
      </c>
      <c r="I26" s="118" t="n">
        <v>45</v>
      </c>
      <c r="J26" s="132" t="n">
        <f aca="false">I26+Assumptions!$F$124</f>
        <v>45</v>
      </c>
      <c r="K26" s="133" t="n">
        <v>0</v>
      </c>
      <c r="L26" s="103" t="n">
        <v>0</v>
      </c>
      <c r="M26" s="130" t="n">
        <v>0</v>
      </c>
      <c r="N26" s="116"/>
      <c r="O26" s="62" t="str">
        <f aca="false">"n/a"</f>
        <v>n/a</v>
      </c>
      <c r="P26" s="62" t="n">
        <v>0</v>
      </c>
      <c r="Q26" s="103" t="n">
        <v>0</v>
      </c>
      <c r="R26" s="130" t="n">
        <v>0</v>
      </c>
      <c r="S26" s="133" t="n">
        <v>0</v>
      </c>
      <c r="T26" s="103" t="n">
        <v>0</v>
      </c>
      <c r="U26" s="103" t="n">
        <v>0</v>
      </c>
      <c r="V26" s="134" t="n">
        <f aca="false">IF(D26="GBP",Assumptions!$C$74,IF(D26="USD",Assumptions!$C$75,1))</f>
        <v>0.8726</v>
      </c>
      <c r="W26" s="71" t="n">
        <f aca="false">T26/V26</f>
        <v>0</v>
      </c>
      <c r="X26" s="71" t="n">
        <f aca="false">U26/V26</f>
        <v>0</v>
      </c>
    </row>
    <row r="27" customFormat="false" ht="15" hidden="false" customHeight="false" outlineLevel="0" collapsed="false">
      <c r="A27" s="131" t="s">
        <v>1489</v>
      </c>
      <c r="B27" s="131" t="s">
        <v>687</v>
      </c>
      <c r="C27" s="131" t="s">
        <v>1467</v>
      </c>
      <c r="D27" s="131" t="s">
        <v>524</v>
      </c>
      <c r="E27" s="131" t="s">
        <v>1464</v>
      </c>
      <c r="F27" s="62" t="n">
        <f aca="false">IF(E27="EE",Assumptions!$C$18,0)</f>
        <v>0</v>
      </c>
      <c r="G27" s="118"/>
      <c r="H27" s="131" t="s">
        <v>1490</v>
      </c>
      <c r="I27" s="118" t="n">
        <v>30</v>
      </c>
      <c r="J27" s="132" t="n">
        <f aca="false">I27+Assumptions!$F$124</f>
        <v>30</v>
      </c>
      <c r="K27" s="133" t="n">
        <v>0</v>
      </c>
      <c r="L27" s="103" t="n">
        <v>0</v>
      </c>
      <c r="M27" s="130" t="n">
        <v>0</v>
      </c>
      <c r="N27" s="116"/>
      <c r="O27" s="62" t="str">
        <f aca="false">"n/a"</f>
        <v>n/a</v>
      </c>
      <c r="P27" s="62" t="n">
        <v>0</v>
      </c>
      <c r="Q27" s="103" t="n">
        <v>0</v>
      </c>
      <c r="R27" s="130" t="n">
        <v>0</v>
      </c>
      <c r="S27" s="133" t="n">
        <v>0</v>
      </c>
      <c r="T27" s="103" t="n">
        <v>0</v>
      </c>
      <c r="U27" s="103" t="n">
        <v>0</v>
      </c>
      <c r="V27" s="134" t="n">
        <f aca="false">IF(D27="GBP",Assumptions!$C$74,IF(D27="USD",Assumptions!$C$75,1))</f>
        <v>1</v>
      </c>
      <c r="W27" s="71" t="n">
        <f aca="false">T27/V27</f>
        <v>0</v>
      </c>
      <c r="X27" s="71" t="n">
        <f aca="false">U27/V27</f>
        <v>0</v>
      </c>
    </row>
    <row r="28" customFormat="false" ht="15" hidden="false" customHeight="false" outlineLevel="0" collapsed="false">
      <c r="A28" s="131" t="s">
        <v>1491</v>
      </c>
      <c r="B28" s="131" t="s">
        <v>688</v>
      </c>
      <c r="C28" s="131" t="s">
        <v>1492</v>
      </c>
      <c r="D28" s="131" t="s">
        <v>524</v>
      </c>
      <c r="E28" s="131" t="s">
        <v>1464</v>
      </c>
      <c r="F28" s="62" t="n">
        <f aca="false">IF(E28="EE",Assumptions!$C$18,0)</f>
        <v>0</v>
      </c>
      <c r="G28" s="118"/>
      <c r="H28" s="131" t="s">
        <v>1493</v>
      </c>
      <c r="I28" s="118" t="n">
        <v>30</v>
      </c>
      <c r="J28" s="132" t="n">
        <f aca="false">I28+Assumptions!$F$124</f>
        <v>30</v>
      </c>
      <c r="K28" s="133" t="n">
        <v>0</v>
      </c>
      <c r="L28" s="103" t="n">
        <v>0</v>
      </c>
      <c r="M28" s="130" t="n">
        <v>0</v>
      </c>
      <c r="N28" s="116"/>
      <c r="O28" s="62" t="str">
        <f aca="false">"n/a"</f>
        <v>n/a</v>
      </c>
      <c r="P28" s="62" t="n">
        <v>0</v>
      </c>
      <c r="Q28" s="103" t="n">
        <v>0</v>
      </c>
      <c r="R28" s="130" t="n">
        <v>0</v>
      </c>
      <c r="S28" s="133" t="n">
        <v>0</v>
      </c>
      <c r="T28" s="103" t="n">
        <v>0</v>
      </c>
      <c r="U28" s="103" t="n">
        <v>0</v>
      </c>
      <c r="V28" s="134" t="n">
        <f aca="false">IF(D28="GBP",Assumptions!$C$74,IF(D28="USD",Assumptions!$C$75,1))</f>
        <v>1</v>
      </c>
      <c r="W28" s="71" t="n">
        <f aca="false">T28/V28</f>
        <v>0</v>
      </c>
      <c r="X28" s="71" t="n">
        <f aca="false">U28/V28</f>
        <v>0</v>
      </c>
    </row>
    <row r="29" customFormat="false" ht="15" hidden="false" customHeight="false" outlineLevel="0" collapsed="false">
      <c r="A29" s="79" t="s">
        <v>499</v>
      </c>
      <c r="W29" s="80" t="n">
        <f aca="false">SUM(W7:W28)</f>
        <v>567950.763299847</v>
      </c>
      <c r="X29" s="80" t="n">
        <f aca="false">SUM(X7:X28)</f>
        <v>79144.317410039</v>
      </c>
    </row>
    <row r="31" customFormat="false" ht="15" hidden="false" customHeight="false" outlineLevel="0" collapsed="false">
      <c r="A31" s="20" t="s">
        <v>1494</v>
      </c>
    </row>
    <row r="32" customFormat="false" ht="66" hidden="false" customHeight="true" outlineLevel="0" collapsed="false">
      <c r="A32" s="26" t="s">
        <v>1166</v>
      </c>
      <c r="B32" s="27" t="s">
        <v>644</v>
      </c>
      <c r="C32" s="27" t="s">
        <v>1495</v>
      </c>
      <c r="D32" s="27" t="s">
        <v>5</v>
      </c>
      <c r="E32" s="27" t="s">
        <v>152</v>
      </c>
      <c r="F32" s="27" t="s">
        <v>1167</v>
      </c>
      <c r="G32" s="27" t="s">
        <v>1496</v>
      </c>
      <c r="H32" s="27" t="s">
        <v>1497</v>
      </c>
      <c r="I32" s="27" t="s">
        <v>1498</v>
      </c>
      <c r="J32" s="27" t="s">
        <v>1499</v>
      </c>
      <c r="K32" s="27" t="s">
        <v>1500</v>
      </c>
      <c r="L32" s="27" t="s">
        <v>1501</v>
      </c>
      <c r="M32" s="27" t="s">
        <v>1502</v>
      </c>
      <c r="N32" s="27" t="s">
        <v>1503</v>
      </c>
      <c r="O32" s="27" t="s">
        <v>1504</v>
      </c>
      <c r="P32" s="27" t="s">
        <v>1505</v>
      </c>
      <c r="Q32" s="27" t="s">
        <v>1506</v>
      </c>
      <c r="R32" s="27" t="s">
        <v>1507</v>
      </c>
      <c r="S32" s="27" t="s">
        <v>1508</v>
      </c>
      <c r="T32" s="27" t="s">
        <v>1509</v>
      </c>
    </row>
    <row r="33" customFormat="false" ht="15" hidden="false" customHeight="false" outlineLevel="0" collapsed="false">
      <c r="A33" s="131" t="s">
        <v>1510</v>
      </c>
      <c r="B33" s="131" t="s">
        <v>1439</v>
      </c>
      <c r="C33" s="131" t="s">
        <v>1511</v>
      </c>
      <c r="D33" s="135" t="str">
        <f aca="false">Client_Register!$D$7</f>
        <v>GBP</v>
      </c>
      <c r="E33" s="131" t="s">
        <v>664</v>
      </c>
      <c r="F33" s="131" t="s">
        <v>1512</v>
      </c>
      <c r="G33" s="103" t="n">
        <v>42000</v>
      </c>
      <c r="H33" s="133" t="n">
        <v>430</v>
      </c>
      <c r="I33" s="116" t="n">
        <v>45107</v>
      </c>
      <c r="J33" s="116" t="n">
        <v>46387</v>
      </c>
      <c r="K33" s="130" t="n">
        <v>1</v>
      </c>
      <c r="L33" s="130" t="n">
        <v>0</v>
      </c>
      <c r="M33" s="130" t="n">
        <v>1</v>
      </c>
      <c r="N33" s="62" t="n">
        <f aca="false">CHOOSE(Assumptions!$C$11,K33,L33,M33)</f>
        <v>1</v>
      </c>
      <c r="O33" s="131" t="s">
        <v>1513</v>
      </c>
      <c r="P33" s="132" t="n">
        <f aca="false">((YEAR(I33)-YEAR(Assumptions!$C$8))*12+MONTH(I33)-MONTH(Assumptions!$C$8)+1)</f>
        <v>-30</v>
      </c>
      <c r="Q33" s="132" t="n">
        <f aca="false">IF(J33="",999,((YEAR(J33)-YEAR(Assumptions!$C$8))*12+MONTH(J33)-MONTH(Assumptions!$C$8)+1))</f>
        <v>12</v>
      </c>
      <c r="R33" s="62" t="n">
        <f aca="false">IFERROR(SUMIFS(Inputs_Actuals!$E$15:$AB$15,Assumptions!$E$100:$AB$100,"A")/SUMIFS(Retainers!$E$12:$AB$12,Assumptions!$E$100:$AB$100,"A")-1,"n/a")</f>
        <v>0.152122093023256</v>
      </c>
      <c r="S33" s="62" t="n">
        <f aca="false">IF(ISNUMBER(R33),R33*Assumptions!$F$115,Assumptions!$F$116)</f>
        <v>0.106485465116279</v>
      </c>
      <c r="T33" s="71" t="n">
        <f aca="false">G33/INDEX(Inputs_Actuals!$E$9:$AB$9,Assumptions!$C$10)</f>
        <v>49059.1162350633</v>
      </c>
    </row>
    <row r="34" customFormat="false" ht="15" hidden="false" customHeight="false" outlineLevel="0" collapsed="false">
      <c r="A34" s="131" t="s">
        <v>1514</v>
      </c>
      <c r="B34" s="131" t="s">
        <v>1443</v>
      </c>
      <c r="C34" s="131" t="s">
        <v>1515</v>
      </c>
      <c r="D34" s="135" t="str">
        <f aca="false">Client_Register!$D$8</f>
        <v>GBP</v>
      </c>
      <c r="E34" s="131" t="s">
        <v>664</v>
      </c>
      <c r="F34" s="131" t="s">
        <v>1516</v>
      </c>
      <c r="G34" s="103" t="n">
        <v>15000</v>
      </c>
      <c r="H34" s="133" t="n">
        <v>180</v>
      </c>
      <c r="I34" s="116" t="n">
        <v>44804</v>
      </c>
      <c r="J34" s="116" t="n">
        <v>46477</v>
      </c>
      <c r="K34" s="130" t="n">
        <v>0.9</v>
      </c>
      <c r="L34" s="130" t="n">
        <v>0.8</v>
      </c>
      <c r="M34" s="130" t="n">
        <v>0.95</v>
      </c>
      <c r="N34" s="62" t="n">
        <f aca="false">CHOOSE(Assumptions!$C$11,K34,L34,M34)</f>
        <v>0.9</v>
      </c>
      <c r="O34" s="131" t="s">
        <v>1517</v>
      </c>
      <c r="P34" s="132" t="n">
        <f aca="false">((YEAR(I34)-YEAR(Assumptions!$C$8))*12+MONTH(I34)-MONTH(Assumptions!$C$8)+1)</f>
        <v>-40</v>
      </c>
      <c r="Q34" s="132" t="n">
        <f aca="false">IF(J34="",999,((YEAR(J34)-YEAR(Assumptions!$C$8))*12+MONTH(J34)-MONTH(Assumptions!$C$8)+1))</f>
        <v>15</v>
      </c>
      <c r="R34" s="62" t="n">
        <f aca="false">IFERROR(SUMIFS(Inputs_Actuals!$E$18:$AB$18,Assumptions!$E$100:$AB$100,"A")/SUMIFS(Retainers!$E$22:$AB$22,Assumptions!$E$100:$AB$100,"A")-1,"n/a")</f>
        <v>0.0989583333333333</v>
      </c>
      <c r="S34" s="62" t="n">
        <f aca="false">IF(ISNUMBER(R34),R34*Assumptions!$F$115,Assumptions!$F$116)</f>
        <v>0.0692708333333333</v>
      </c>
      <c r="T34" s="71" t="n">
        <f aca="false">G34/INDEX(Inputs_Actuals!$E$9:$AB$9,Assumptions!$C$10)</f>
        <v>17521.112941094</v>
      </c>
    </row>
    <row r="35" customFormat="false" ht="15" hidden="false" customHeight="false" outlineLevel="0" collapsed="false">
      <c r="A35" s="131" t="s">
        <v>1518</v>
      </c>
      <c r="B35" s="131" t="s">
        <v>1451</v>
      </c>
      <c r="C35" s="131" t="s">
        <v>1511</v>
      </c>
      <c r="D35" s="135" t="str">
        <f aca="false">Client_Register!$D$12</f>
        <v>GBP</v>
      </c>
      <c r="E35" s="131" t="s">
        <v>664</v>
      </c>
      <c r="F35" s="131" t="s">
        <v>1519</v>
      </c>
      <c r="G35" s="103" t="n">
        <v>18000</v>
      </c>
      <c r="H35" s="133" t="n">
        <v>190</v>
      </c>
      <c r="I35" s="116" t="n">
        <v>45473</v>
      </c>
      <c r="J35" s="116" t="n">
        <v>46568</v>
      </c>
      <c r="K35" s="130" t="n">
        <v>0.9</v>
      </c>
      <c r="L35" s="130" t="n">
        <v>0.8</v>
      </c>
      <c r="M35" s="130" t="n">
        <v>0.95</v>
      </c>
      <c r="N35" s="62" t="n">
        <f aca="false">CHOOSE(Assumptions!$C$11,K35,L35,M35)</f>
        <v>0.9</v>
      </c>
      <c r="O35" s="131" t="s">
        <v>1513</v>
      </c>
      <c r="P35" s="132" t="n">
        <f aca="false">((YEAR(I35)-YEAR(Assumptions!$C$8))*12+MONTH(I35)-MONTH(Assumptions!$C$8)+1)</f>
        <v>-18</v>
      </c>
      <c r="Q35" s="132" t="n">
        <f aca="false">IF(J35="",999,((YEAR(J35)-YEAR(Assumptions!$C$8))*12+MONTH(J35)-MONTH(Assumptions!$C$8)+1))</f>
        <v>18</v>
      </c>
      <c r="R35" s="62" t="n">
        <f aca="false">IFERROR(SUMIFS(Inputs_Actuals!$E$21:$AB$21,Assumptions!$E$100:$AB$100,"A")/SUMIFS(Retainers!$E$32:$AB$32,Assumptions!$E$100:$AB$100,"A")-1,"n/a")</f>
        <v>0.0941447368421051</v>
      </c>
      <c r="S35" s="62" t="n">
        <f aca="false">IF(ISNUMBER(R35),R35*Assumptions!$F$115,Assumptions!$F$116)</f>
        <v>0.0659013157894736</v>
      </c>
      <c r="T35" s="71" t="n">
        <f aca="false">G35/INDEX(Inputs_Actuals!$E$9:$AB$9,Assumptions!$C$10)</f>
        <v>21025.3355293128</v>
      </c>
    </row>
    <row r="36" customFormat="false" ht="15" hidden="false" customHeight="false" outlineLevel="0" collapsed="false">
      <c r="A36" s="131" t="s">
        <v>1520</v>
      </c>
      <c r="B36" s="131" t="s">
        <v>1445</v>
      </c>
      <c r="C36" s="131" t="s">
        <v>1515</v>
      </c>
      <c r="D36" s="135" t="str">
        <f aca="false">Client_Register!$D$9</f>
        <v>GBP</v>
      </c>
      <c r="E36" s="131" t="s">
        <v>664</v>
      </c>
      <c r="F36" s="131" t="s">
        <v>1521</v>
      </c>
      <c r="G36" s="103" t="n">
        <v>11500</v>
      </c>
      <c r="H36" s="133" t="n">
        <v>140</v>
      </c>
      <c r="I36" s="116" t="n">
        <v>46203</v>
      </c>
      <c r="J36" s="116" t="n">
        <v>46538</v>
      </c>
      <c r="K36" s="130" t="n">
        <v>0.85</v>
      </c>
      <c r="L36" s="130" t="n">
        <v>0.75</v>
      </c>
      <c r="M36" s="130" t="n">
        <v>0.9</v>
      </c>
      <c r="N36" s="62" t="n">
        <f aca="false">CHOOSE(Assumptions!$C$11,K36,L36,M36)</f>
        <v>0.85</v>
      </c>
      <c r="O36" s="131" t="s">
        <v>1513</v>
      </c>
      <c r="P36" s="132" t="n">
        <f aca="false">((YEAR(I36)-YEAR(Assumptions!$C$8))*12+MONTH(I36)-MONTH(Assumptions!$C$8)+1)</f>
        <v>6</v>
      </c>
      <c r="Q36" s="132" t="n">
        <f aca="false">IF(J36="",999,((YEAR(J36)-YEAR(Assumptions!$C$8))*12+MONTH(J36)-MONTH(Assumptions!$C$8)+1))</f>
        <v>17</v>
      </c>
      <c r="R36" s="62" t="n">
        <f aca="false">IFERROR(SUMIFS(Inputs_Actuals!$E$24:$AB$24,Assumptions!$E$100:$AB$100,"A")/SUMIFS(Retainers!$E$42:$AB$42,Assumptions!$E$100:$AB$100,"A")-1,"n/a")</f>
        <v>0.065952380952381</v>
      </c>
      <c r="S36" s="62" t="n">
        <f aca="false">IF(ISNUMBER(R36),R36*Assumptions!$F$115,Assumptions!$F$116)</f>
        <v>0.0461666666666667</v>
      </c>
      <c r="T36" s="71" t="n">
        <f aca="false">G36/INDEX(Inputs_Actuals!$E$9:$AB$9,Assumptions!$C$10)</f>
        <v>13432.8532548387</v>
      </c>
    </row>
    <row r="37" customFormat="false" ht="15" hidden="false" customHeight="false" outlineLevel="0" collapsed="false">
      <c r="A37" s="131" t="s">
        <v>1522</v>
      </c>
      <c r="B37" s="131" t="s">
        <v>1455</v>
      </c>
      <c r="C37" s="131" t="s">
        <v>1511</v>
      </c>
      <c r="D37" s="135" t="str">
        <f aca="false">Client_Register!$D$14</f>
        <v>USD</v>
      </c>
      <c r="E37" s="131" t="s">
        <v>664</v>
      </c>
      <c r="F37" s="131" t="s">
        <v>1523</v>
      </c>
      <c r="G37" s="103" t="n">
        <v>26000</v>
      </c>
      <c r="H37" s="133" t="n">
        <v>215</v>
      </c>
      <c r="I37" s="116" t="n">
        <v>46142</v>
      </c>
      <c r="J37" s="116" t="n">
        <v>46477</v>
      </c>
      <c r="K37" s="130" t="n">
        <v>0.9</v>
      </c>
      <c r="L37" s="130" t="n">
        <v>0.75</v>
      </c>
      <c r="M37" s="130" t="n">
        <v>0.95</v>
      </c>
      <c r="N37" s="62" t="n">
        <f aca="false">CHOOSE(Assumptions!$C$11,K37,L37,M37)</f>
        <v>0.9</v>
      </c>
      <c r="O37" s="131" t="s">
        <v>1513</v>
      </c>
      <c r="P37" s="132" t="n">
        <f aca="false">((YEAR(I37)-YEAR(Assumptions!$C$8))*12+MONTH(I37)-MONTH(Assumptions!$C$8)+1)</f>
        <v>4</v>
      </c>
      <c r="Q37" s="132" t="n">
        <f aca="false">IF(J37="",999,((YEAR(J37)-YEAR(Assumptions!$C$8))*12+MONTH(J37)-MONTH(Assumptions!$C$8)+1))</f>
        <v>15</v>
      </c>
      <c r="R37" s="62" t="n">
        <f aca="false">IFERROR(SUMIFS(Inputs_Actuals!$E$27:$AB$27,Assumptions!$E$100:$AB$100,"A")/SUMIFS(Retainers!$E$52:$AB$52,Assumptions!$E$100:$AB$100,"A")-1,"n/a")</f>
        <v>0.141116279069768</v>
      </c>
      <c r="S37" s="62" t="n">
        <f aca="false">IF(ISNUMBER(R37),R37*Assumptions!$F$115,Assumptions!$F$116)</f>
        <v>0.0987813953488373</v>
      </c>
      <c r="T37" s="71" t="n">
        <f aca="false">G37/INDEX(Inputs_Actuals!$E$11:$AB$11,Assumptions!$C$10)</f>
        <v>22529.3531476106</v>
      </c>
    </row>
    <row r="38" customFormat="false" ht="15" hidden="false" customHeight="false" outlineLevel="0" collapsed="false">
      <c r="A38" s="131" t="s">
        <v>1524</v>
      </c>
      <c r="B38" s="131" t="s">
        <v>1458</v>
      </c>
      <c r="C38" s="131" t="s">
        <v>1525</v>
      </c>
      <c r="D38" s="135" t="str">
        <f aca="false">Client_Register!$D$15</f>
        <v>USD</v>
      </c>
      <c r="E38" s="131" t="s">
        <v>664</v>
      </c>
      <c r="F38" s="131" t="s">
        <v>1519</v>
      </c>
      <c r="G38" s="103" t="n">
        <v>11000</v>
      </c>
      <c r="H38" s="133" t="n">
        <v>95</v>
      </c>
      <c r="I38" s="116" t="n">
        <v>45260</v>
      </c>
      <c r="J38" s="116" t="n">
        <v>46568</v>
      </c>
      <c r="K38" s="130" t="n">
        <v>0.9</v>
      </c>
      <c r="L38" s="130" t="n">
        <v>0.8</v>
      </c>
      <c r="M38" s="130" t="n">
        <v>0.95</v>
      </c>
      <c r="N38" s="62" t="n">
        <f aca="false">CHOOSE(Assumptions!$C$11,K38,L38,M38)</f>
        <v>0.9</v>
      </c>
      <c r="O38" s="131" t="s">
        <v>1513</v>
      </c>
      <c r="P38" s="132" t="n">
        <f aca="false">((YEAR(I38)-YEAR(Assumptions!$C$8))*12+MONTH(I38)-MONTH(Assumptions!$C$8)+1)</f>
        <v>-25</v>
      </c>
      <c r="Q38" s="132" t="n">
        <f aca="false">IF(J38="",999,((YEAR(J38)-YEAR(Assumptions!$C$8))*12+MONTH(J38)-MONTH(Assumptions!$C$8)+1))</f>
        <v>18</v>
      </c>
      <c r="R38" s="62" t="n">
        <f aca="false">IFERROR(SUMIFS(Inputs_Actuals!$E$30:$AB$30,Assumptions!$E$100:$AB$100,"A")/SUMIFS(Retainers!$E$62:$AB$62,Assumptions!$E$100:$AB$100,"A")-1,"n/a")</f>
        <v>0.0735526315789474</v>
      </c>
      <c r="S38" s="62" t="n">
        <f aca="false">IF(ISNUMBER(R38),R38*Assumptions!$F$115,Assumptions!$F$116)</f>
        <v>0.0514868421052632</v>
      </c>
      <c r="T38" s="71" t="n">
        <f aca="false">G38/INDEX(Inputs_Actuals!$E$11:$AB$11,Assumptions!$C$10)</f>
        <v>9531.64940860448</v>
      </c>
    </row>
    <row r="39" customFormat="false" ht="15" hidden="false" customHeight="false" outlineLevel="0" collapsed="false">
      <c r="A39" s="131" t="s">
        <v>1526</v>
      </c>
      <c r="B39" s="131" t="s">
        <v>1462</v>
      </c>
      <c r="C39" s="131" t="s">
        <v>1515</v>
      </c>
      <c r="D39" s="135" t="str">
        <f aca="false">Client_Register!$D$17</f>
        <v>EUR</v>
      </c>
      <c r="E39" s="131" t="s">
        <v>664</v>
      </c>
      <c r="F39" s="131" t="s">
        <v>1512</v>
      </c>
      <c r="G39" s="103" t="n">
        <v>18500</v>
      </c>
      <c r="H39" s="133" t="n">
        <v>190</v>
      </c>
      <c r="I39" s="116" t="n">
        <v>45107</v>
      </c>
      <c r="J39" s="116" t="n">
        <v>46387</v>
      </c>
      <c r="K39" s="130" t="n">
        <v>0.85</v>
      </c>
      <c r="L39" s="130" t="n">
        <v>0.6</v>
      </c>
      <c r="M39" s="130" t="n">
        <v>0.9</v>
      </c>
      <c r="N39" s="62" t="n">
        <f aca="false">CHOOSE(Assumptions!$C$11,K39,L39,M39)</f>
        <v>0.85</v>
      </c>
      <c r="O39" s="131" t="s">
        <v>1513</v>
      </c>
      <c r="P39" s="132" t="n">
        <f aca="false">((YEAR(I39)-YEAR(Assumptions!$C$8))*12+MONTH(I39)-MONTH(Assumptions!$C$8)+1)</f>
        <v>-30</v>
      </c>
      <c r="Q39" s="132" t="n">
        <f aca="false">IF(J39="",999,((YEAR(J39)-YEAR(Assumptions!$C$8))*12+MONTH(J39)-MONTH(Assumptions!$C$8)+1))</f>
        <v>12</v>
      </c>
      <c r="R39" s="62" t="n">
        <f aca="false">IFERROR(SUMIFS(Inputs_Actuals!$E$33:$AB$33,Assumptions!$E$100:$AB$100,"A")/SUMIFS(Retainers!$E$72:$AB$72,Assumptions!$E$100:$AB$100,"A")-1,"n/a")</f>
        <v>0.263486842105263</v>
      </c>
      <c r="S39" s="62" t="n">
        <f aca="false">IF(ISNUMBER(R39),R39*Assumptions!$F$115,Assumptions!$F$116)</f>
        <v>0.184440789473684</v>
      </c>
      <c r="T39" s="71" t="n">
        <f aca="false">G39/1</f>
        <v>18500</v>
      </c>
    </row>
    <row r="40" customFormat="false" ht="15" hidden="false" customHeight="false" outlineLevel="0" collapsed="false">
      <c r="A40" s="131" t="s">
        <v>1527</v>
      </c>
      <c r="B40" s="131" t="s">
        <v>1466</v>
      </c>
      <c r="C40" s="131" t="s">
        <v>1525</v>
      </c>
      <c r="D40" s="135" t="str">
        <f aca="false">Client_Register!$D$18</f>
        <v>EUR</v>
      </c>
      <c r="E40" s="131" t="s">
        <v>664</v>
      </c>
      <c r="F40" s="131" t="s">
        <v>1528</v>
      </c>
      <c r="G40" s="103" t="n">
        <v>16000</v>
      </c>
      <c r="H40" s="133" t="n">
        <v>165</v>
      </c>
      <c r="I40" s="116" t="n">
        <v>45412</v>
      </c>
      <c r="J40" s="116" t="n">
        <v>46660</v>
      </c>
      <c r="K40" s="130" t="n">
        <v>0.9</v>
      </c>
      <c r="L40" s="130" t="n">
        <v>0.8</v>
      </c>
      <c r="M40" s="130" t="n">
        <v>0.95</v>
      </c>
      <c r="N40" s="62" t="n">
        <f aca="false">CHOOSE(Assumptions!$C$11,K40,L40,M40)</f>
        <v>0.9</v>
      </c>
      <c r="O40" s="131" t="s">
        <v>1517</v>
      </c>
      <c r="P40" s="132" t="n">
        <f aca="false">((YEAR(I40)-YEAR(Assumptions!$C$8))*12+MONTH(I40)-MONTH(Assumptions!$C$8)+1)</f>
        <v>-20</v>
      </c>
      <c r="Q40" s="132" t="n">
        <f aca="false">IF(J40="",999,((YEAR(J40)-YEAR(Assumptions!$C$8))*12+MONTH(J40)-MONTH(Assumptions!$C$8)+1))</f>
        <v>21</v>
      </c>
      <c r="R40" s="62" t="n">
        <f aca="false">IFERROR(SUMIFS(Inputs_Actuals!$E$36:$AB$36,Assumptions!$E$100:$AB$100,"A")/SUMIFS(Retainers!$E$82:$AB$82,Assumptions!$E$100:$AB$100,"A")-1,"n/a")</f>
        <v>0.0497727272727273</v>
      </c>
      <c r="S40" s="62" t="n">
        <f aca="false">IF(ISNUMBER(R40),R40*Assumptions!$F$115,Assumptions!$F$116)</f>
        <v>0.0348409090909091</v>
      </c>
      <c r="T40" s="71" t="n">
        <f aca="false">G40/1</f>
        <v>16000</v>
      </c>
    </row>
    <row r="41" customFormat="false" ht="15" hidden="false" customHeight="false" outlineLevel="0" collapsed="false">
      <c r="A41" s="131" t="s">
        <v>1529</v>
      </c>
      <c r="B41" s="131" t="s">
        <v>1469</v>
      </c>
      <c r="C41" s="131" t="s">
        <v>1525</v>
      </c>
      <c r="D41" s="135" t="str">
        <f aca="false">Client_Register!$D$19</f>
        <v>EUR</v>
      </c>
      <c r="E41" s="131" t="s">
        <v>664</v>
      </c>
      <c r="F41" s="131" t="s">
        <v>1530</v>
      </c>
      <c r="G41" s="103" t="n">
        <v>14000</v>
      </c>
      <c r="H41" s="133" t="n">
        <v>145</v>
      </c>
      <c r="I41" s="116" t="n">
        <v>45596</v>
      </c>
      <c r="J41" s="116" t="n">
        <v>46446</v>
      </c>
      <c r="K41" s="130" t="n">
        <v>0.85</v>
      </c>
      <c r="L41" s="130" t="n">
        <v>0.75</v>
      </c>
      <c r="M41" s="130" t="n">
        <v>0.9</v>
      </c>
      <c r="N41" s="62" t="n">
        <f aca="false">CHOOSE(Assumptions!$C$11,K41,L41,M41)</f>
        <v>0.85</v>
      </c>
      <c r="O41" s="131" t="s">
        <v>1513</v>
      </c>
      <c r="P41" s="132" t="n">
        <f aca="false">((YEAR(I41)-YEAR(Assumptions!$C$8))*12+MONTH(I41)-MONTH(Assumptions!$C$8)+1)</f>
        <v>-14</v>
      </c>
      <c r="Q41" s="132" t="n">
        <f aca="false">IF(J41="",999,((YEAR(J41)-YEAR(Assumptions!$C$8))*12+MONTH(J41)-MONTH(Assumptions!$C$8)+1))</f>
        <v>14</v>
      </c>
      <c r="R41" s="62" t="n">
        <f aca="false">IFERROR(SUMIFS(Inputs_Actuals!$E$39:$AB$39,Assumptions!$E$100:$AB$100,"A")/SUMIFS(Retainers!$E$92:$AB$92,Assumptions!$E$100:$AB$100,"A")-1,"n/a")</f>
        <v>0.076896551724138</v>
      </c>
      <c r="S41" s="62" t="n">
        <f aca="false">IF(ISNUMBER(R41),R41*Assumptions!$F$115,Assumptions!$F$116)</f>
        <v>0.0538275862068966</v>
      </c>
      <c r="T41" s="71" t="n">
        <f aca="false">G41/1</f>
        <v>14000</v>
      </c>
    </row>
    <row r="42" customFormat="false" ht="15" hidden="false" customHeight="false" outlineLevel="0" collapsed="false">
      <c r="A42" s="131" t="s">
        <v>1531</v>
      </c>
      <c r="B42" s="131" t="s">
        <v>1473</v>
      </c>
      <c r="C42" s="131" t="s">
        <v>1515</v>
      </c>
      <c r="D42" s="135" t="str">
        <f aca="false">Client_Register!$D$21</f>
        <v>EUR</v>
      </c>
      <c r="E42" s="131" t="s">
        <v>680</v>
      </c>
      <c r="F42" s="131" t="s">
        <v>1532</v>
      </c>
      <c r="G42" s="103" t="n">
        <v>13500</v>
      </c>
      <c r="H42" s="133" t="n">
        <v>140</v>
      </c>
      <c r="I42" s="116" t="n">
        <v>44651</v>
      </c>
      <c r="J42" s="116" t="n">
        <v>46295</v>
      </c>
      <c r="K42" s="130" t="n">
        <v>0</v>
      </c>
      <c r="L42" s="130" t="n">
        <v>0</v>
      </c>
      <c r="M42" s="130" t="n">
        <v>0</v>
      </c>
      <c r="N42" s="62" t="n">
        <f aca="false">CHOOSE(Assumptions!$C$11,K42,L42,M42)</f>
        <v>0</v>
      </c>
      <c r="O42" s="131" t="s">
        <v>1513</v>
      </c>
      <c r="P42" s="132" t="n">
        <f aca="false">((YEAR(I42)-YEAR(Assumptions!$C$8))*12+MONTH(I42)-MONTH(Assumptions!$C$8)+1)</f>
        <v>-45</v>
      </c>
      <c r="Q42" s="132" t="n">
        <f aca="false">IF(J42="",999,((YEAR(J42)-YEAR(Assumptions!$C$8))*12+MONTH(J42)-MONTH(Assumptions!$C$8)+1))</f>
        <v>9</v>
      </c>
      <c r="R42" s="62" t="n">
        <f aca="false">IFERROR(SUMIFS(Inputs_Actuals!$E$42:$AB$42,Assumptions!$E$100:$AB$100,"A")/SUMIFS(Retainers!$E$102:$AB$102,Assumptions!$E$100:$AB$100,"A")-1,"n/a")</f>
        <v>0.200803571428571</v>
      </c>
      <c r="S42" s="62" t="n">
        <f aca="false">IF(ISNUMBER(R42),R42*Assumptions!$F$115,Assumptions!$F$116)</f>
        <v>0.1405625</v>
      </c>
      <c r="T42" s="71" t="n">
        <f aca="false">G42/1</f>
        <v>13500</v>
      </c>
    </row>
    <row r="43" customFormat="false" ht="15" hidden="false" customHeight="false" outlineLevel="0" collapsed="false">
      <c r="A43" s="131" t="s">
        <v>1533</v>
      </c>
      <c r="B43" s="131" t="s">
        <v>1479</v>
      </c>
      <c r="C43" s="131" t="s">
        <v>1525</v>
      </c>
      <c r="D43" s="135" t="str">
        <f aca="false">Client_Register!$D$23</f>
        <v>EUR</v>
      </c>
      <c r="E43" s="131" t="s">
        <v>664</v>
      </c>
      <c r="F43" s="131" t="s">
        <v>1512</v>
      </c>
      <c r="G43" s="103" t="n">
        <v>9000</v>
      </c>
      <c r="H43" s="133" t="n">
        <v>95</v>
      </c>
      <c r="I43" s="116" t="n">
        <v>44196</v>
      </c>
      <c r="J43" s="116" t="n">
        <v>46387</v>
      </c>
      <c r="K43" s="130" t="n">
        <v>0.95</v>
      </c>
      <c r="L43" s="130" t="n">
        <v>0.85</v>
      </c>
      <c r="M43" s="130" t="n">
        <v>0.95</v>
      </c>
      <c r="N43" s="62" t="n">
        <f aca="false">CHOOSE(Assumptions!$C$11,K43,L43,M43)</f>
        <v>0.95</v>
      </c>
      <c r="O43" s="131" t="s">
        <v>1513</v>
      </c>
      <c r="P43" s="132" t="n">
        <f aca="false">((YEAR(I43)-YEAR(Assumptions!$C$8))*12+MONTH(I43)-MONTH(Assumptions!$C$8)+1)</f>
        <v>-60</v>
      </c>
      <c r="Q43" s="132" t="n">
        <f aca="false">IF(J43="",999,((YEAR(J43)-YEAR(Assumptions!$C$8))*12+MONTH(J43)-MONTH(Assumptions!$C$8)+1))</f>
        <v>12</v>
      </c>
      <c r="R43" s="62" t="n">
        <f aca="false">IFERROR(SUMIFS(Inputs_Actuals!$E$45:$AB$45,Assumptions!$E$100:$AB$100,"A")/SUMIFS(Retainers!$E$112:$AB$112,Assumptions!$E$100:$AB$100,"A")-1,"n/a")</f>
        <v>0.0597368421052631</v>
      </c>
      <c r="S43" s="62" t="n">
        <f aca="false">IF(ISNUMBER(R43),R43*Assumptions!$F$115,Assumptions!$F$116)</f>
        <v>0.0418157894736842</v>
      </c>
      <c r="T43" s="71" t="n">
        <f aca="false">G43/1</f>
        <v>9000</v>
      </c>
    </row>
    <row r="44" customFormat="false" ht="15" hidden="false" customHeight="false" outlineLevel="0" collapsed="false">
      <c r="A44" s="131" t="s">
        <v>1534</v>
      </c>
      <c r="B44" s="131" t="s">
        <v>1485</v>
      </c>
      <c r="C44" s="131" t="s">
        <v>1511</v>
      </c>
      <c r="D44" s="135" t="str">
        <f aca="false">Client_Register!$D$25</f>
        <v>USD</v>
      </c>
      <c r="E44" s="131" t="s">
        <v>59</v>
      </c>
      <c r="F44" s="131" t="s">
        <v>1535</v>
      </c>
      <c r="G44" s="103" t="n">
        <v>15000</v>
      </c>
      <c r="H44" s="133" t="n">
        <v>130</v>
      </c>
      <c r="I44" s="116" t="n">
        <v>46418</v>
      </c>
      <c r="J44" s="116"/>
      <c r="K44" s="130" t="n">
        <v>0.45</v>
      </c>
      <c r="L44" s="130" t="n">
        <v>0.25</v>
      </c>
      <c r="M44" s="130" t="n">
        <v>0.6</v>
      </c>
      <c r="N44" s="62" t="n">
        <f aca="false">CHOOSE(Assumptions!$C$11,K44,L44,M44)</f>
        <v>0.45</v>
      </c>
      <c r="O44" s="131" t="s">
        <v>1513</v>
      </c>
      <c r="P44" s="132" t="n">
        <f aca="false">((YEAR(I44)-YEAR(Assumptions!$C$8))*12+MONTH(I44)-MONTH(Assumptions!$C$8)+1)</f>
        <v>13</v>
      </c>
      <c r="Q44" s="132" t="n">
        <f aca="false">IF(J44="",999,((YEAR(J44)-YEAR(Assumptions!$C$8))*12+MONTH(J44)-MONTH(Assumptions!$C$8)+1))</f>
        <v>999</v>
      </c>
      <c r="R44" s="62" t="str">
        <f aca="false">"n/a"</f>
        <v>n/a</v>
      </c>
      <c r="S44" s="62" t="n">
        <f aca="false">IF(ISNUMBER(R44),R44*Assumptions!$F$115,Assumptions!$F$116)</f>
        <v>0.1</v>
      </c>
      <c r="T44" s="71" t="n">
        <f aca="false">G44/INDEX(Inputs_Actuals!$E$11:$AB$11,Assumptions!$C$10)</f>
        <v>12997.7037390061</v>
      </c>
    </row>
    <row r="45" customFormat="false" ht="15" hidden="false" customHeight="false" outlineLevel="0" collapsed="false">
      <c r="A45" s="131" t="s">
        <v>1536</v>
      </c>
      <c r="B45" s="131" t="s">
        <v>1439</v>
      </c>
      <c r="C45" s="131" t="s">
        <v>1525</v>
      </c>
      <c r="D45" s="135" t="str">
        <f aca="false">Client_Register!$D$7</f>
        <v>GBP</v>
      </c>
      <c r="E45" s="131" t="s">
        <v>59</v>
      </c>
      <c r="F45" s="131" t="s">
        <v>1537</v>
      </c>
      <c r="G45" s="103" t="n">
        <v>12000</v>
      </c>
      <c r="H45" s="133" t="n">
        <v>125</v>
      </c>
      <c r="I45" s="116" t="n">
        <v>46477</v>
      </c>
      <c r="J45" s="116"/>
      <c r="K45" s="130" t="n">
        <v>0.3</v>
      </c>
      <c r="L45" s="130" t="n">
        <v>0</v>
      </c>
      <c r="M45" s="130" t="n">
        <v>0.8</v>
      </c>
      <c r="N45" s="62" t="n">
        <f aca="false">CHOOSE(Assumptions!$C$11,K45,L45,M45)</f>
        <v>0.3</v>
      </c>
      <c r="O45" s="131" t="s">
        <v>1513</v>
      </c>
      <c r="P45" s="132" t="n">
        <f aca="false">((YEAR(I45)-YEAR(Assumptions!$C$8))*12+MONTH(I45)-MONTH(Assumptions!$C$8)+1)</f>
        <v>15</v>
      </c>
      <c r="Q45" s="132" t="n">
        <f aca="false">IF(J45="",999,((YEAR(J45)-YEAR(Assumptions!$C$8))*12+MONTH(J45)-MONTH(Assumptions!$C$8)+1))</f>
        <v>999</v>
      </c>
      <c r="R45" s="62" t="str">
        <f aca="false">"n/a"</f>
        <v>n/a</v>
      </c>
      <c r="S45" s="62" t="n">
        <f aca="false">IF(ISNUMBER(R45),R45*Assumptions!$F$115,Assumptions!$F$116)</f>
        <v>0.1</v>
      </c>
      <c r="T45" s="71" t="n">
        <f aca="false">G45/INDEX(Inputs_Actuals!$E$9:$AB$9,Assumptions!$C$10)</f>
        <v>14016.8903528752</v>
      </c>
    </row>
    <row r="46" customFormat="false" ht="15" hidden="false" customHeight="false" outlineLevel="0" collapsed="false">
      <c r="A46" s="131" t="s">
        <v>1538</v>
      </c>
      <c r="B46" s="131" t="s">
        <v>1489</v>
      </c>
      <c r="C46" s="131" t="s">
        <v>1515</v>
      </c>
      <c r="D46" s="135" t="str">
        <f aca="false">Client_Register!$D$27</f>
        <v>EUR</v>
      </c>
      <c r="E46" s="131" t="s">
        <v>59</v>
      </c>
      <c r="F46" s="131" t="s">
        <v>1539</v>
      </c>
      <c r="G46" s="103" t="n">
        <v>11000</v>
      </c>
      <c r="H46" s="133" t="n">
        <v>110</v>
      </c>
      <c r="I46" s="116" t="n">
        <v>46507</v>
      </c>
      <c r="J46" s="116"/>
      <c r="K46" s="130" t="n">
        <v>0.4</v>
      </c>
      <c r="L46" s="130" t="n">
        <v>0.25</v>
      </c>
      <c r="M46" s="130" t="n">
        <v>0.55</v>
      </c>
      <c r="N46" s="62" t="n">
        <f aca="false">CHOOSE(Assumptions!$C$11,K46,L46,M46)</f>
        <v>0.4</v>
      </c>
      <c r="O46" s="131" t="s">
        <v>1513</v>
      </c>
      <c r="P46" s="132" t="n">
        <f aca="false">((YEAR(I46)-YEAR(Assumptions!$C$8))*12+MONTH(I46)-MONTH(Assumptions!$C$8)+1)</f>
        <v>16</v>
      </c>
      <c r="Q46" s="132" t="n">
        <f aca="false">IF(J46="",999,((YEAR(J46)-YEAR(Assumptions!$C$8))*12+MONTH(J46)-MONTH(Assumptions!$C$8)+1))</f>
        <v>999</v>
      </c>
      <c r="R46" s="62" t="str">
        <f aca="false">"n/a"</f>
        <v>n/a</v>
      </c>
      <c r="S46" s="62" t="n">
        <f aca="false">IF(ISNUMBER(R46),R46*Assumptions!$F$115,Assumptions!$F$116)</f>
        <v>0.1</v>
      </c>
      <c r="T46" s="71" t="n">
        <f aca="false">G46/1</f>
        <v>11000</v>
      </c>
    </row>
    <row r="47" customFormat="false" ht="15" hidden="false" customHeight="false" outlineLevel="0" collapsed="false">
      <c r="A47" s="131" t="s">
        <v>1540</v>
      </c>
      <c r="B47" s="131" t="s">
        <v>1487</v>
      </c>
      <c r="C47" s="131" t="s">
        <v>1515</v>
      </c>
      <c r="D47" s="135" t="str">
        <f aca="false">Client_Register!$D$26</f>
        <v>GBP</v>
      </c>
      <c r="E47" s="131" t="s">
        <v>59</v>
      </c>
      <c r="F47" s="131" t="s">
        <v>1541</v>
      </c>
      <c r="G47" s="103" t="n">
        <v>20000</v>
      </c>
      <c r="H47" s="133" t="n">
        <v>210</v>
      </c>
      <c r="I47" s="116" t="n">
        <v>46568</v>
      </c>
      <c r="J47" s="116"/>
      <c r="K47" s="130" t="n">
        <v>0.35</v>
      </c>
      <c r="L47" s="130" t="n">
        <v>0.2</v>
      </c>
      <c r="M47" s="130" t="n">
        <v>0.5</v>
      </c>
      <c r="N47" s="62" t="n">
        <f aca="false">CHOOSE(Assumptions!$C$11,K47,L47,M47)</f>
        <v>0.35</v>
      </c>
      <c r="O47" s="131" t="s">
        <v>1513</v>
      </c>
      <c r="P47" s="132" t="n">
        <f aca="false">((YEAR(I47)-YEAR(Assumptions!$C$8))*12+MONTH(I47)-MONTH(Assumptions!$C$8)+1)</f>
        <v>18</v>
      </c>
      <c r="Q47" s="132" t="n">
        <f aca="false">IF(J47="",999,((YEAR(J47)-YEAR(Assumptions!$C$8))*12+MONTH(J47)-MONTH(Assumptions!$C$8)+1))</f>
        <v>999</v>
      </c>
      <c r="R47" s="62" t="str">
        <f aca="false">"n/a"</f>
        <v>n/a</v>
      </c>
      <c r="S47" s="62" t="n">
        <f aca="false">IF(ISNUMBER(R47),R47*Assumptions!$F$115,Assumptions!$F$116)</f>
        <v>0.1</v>
      </c>
      <c r="T47" s="71" t="n">
        <f aca="false">G47/INDEX(Inputs_Actuals!$E$9:$AB$9,Assumptions!$C$10)</f>
        <v>23361.4839214587</v>
      </c>
    </row>
    <row r="49" customFormat="false" ht="15" hidden="false" customHeight="false" outlineLevel="0" collapsed="false">
      <c r="A49" s="25" t="s">
        <v>1542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25"/>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7"/>
    <col collapsed="false" customWidth="true" hidden="false" outlineLevel="0" max="3" min="3" style="0" width="36"/>
    <col collapsed="false" customWidth="true" hidden="false" outlineLevel="0" max="4" min="4" style="0" width="8"/>
    <col collapsed="false" customWidth="true" hidden="false" outlineLevel="0" max="5" min="5" style="0" width="11"/>
    <col collapsed="false" customWidth="true" hidden="false" outlineLevel="0" max="6" min="6" style="0" width="9"/>
    <col collapsed="false" customWidth="true" hidden="false" outlineLevel="0" max="7" min="7" style="0" width="10"/>
    <col collapsed="false" customWidth="true" hidden="false" outlineLevel="0" max="8" min="8" style="0" width="12"/>
    <col collapsed="false" customWidth="true" hidden="false" outlineLevel="0" max="9" min="9" style="0" width="9"/>
    <col collapsed="false" customWidth="true" hidden="false" outlineLevel="0" max="10" min="10" style="0" width="11"/>
    <col collapsed="false" customWidth="true" hidden="false" outlineLevel="0" max="15" min="11" style="0" width="8"/>
    <col collapsed="false" customWidth="true" hidden="false" outlineLevel="0" max="16" min="16" style="0" width="10"/>
    <col collapsed="false" customWidth="true" hidden="false" outlineLevel="0" max="18" min="17" style="0" width="11"/>
    <col collapsed="false" customWidth="true" hidden="false" outlineLevel="0" max="20" min="19" style="0" width="8"/>
    <col collapsed="false" customWidth="true" hidden="false" outlineLevel="0" max="22" min="21" style="0" width="9"/>
    <col collapsed="false" customWidth="true" hidden="false" outlineLevel="0" max="23" min="23" style="0" width="12"/>
    <col collapsed="false" customWidth="true" hidden="false" outlineLevel="0" max="25" min="24" style="0" width="10"/>
    <col collapsed="false" customWidth="true" hidden="false" outlineLevel="0" max="26" min="26" style="0" width="8"/>
    <col collapsed="false" customWidth="true" hidden="false" outlineLevel="0" max="27" min="27" style="0" width="10"/>
    <col collapsed="false" customWidth="true" hidden="false" outlineLevel="0" max="29" min="28" style="0" width="9"/>
    <col collapsed="false" customWidth="true" hidden="false" outlineLevel="0" max="33" min="30" style="0" width="10"/>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1543</v>
      </c>
    </row>
    <row r="3" customFormat="false" ht="15" hidden="false" customHeight="false" outlineLevel="0" collapsed="false">
      <c r="A3" s="25" t="s">
        <v>1544</v>
      </c>
    </row>
    <row r="6" customFormat="false" ht="66" hidden="false" customHeight="true" outlineLevel="0" collapsed="false">
      <c r="A6" s="26" t="s">
        <v>1416</v>
      </c>
      <c r="B6" s="27" t="s">
        <v>644</v>
      </c>
      <c r="C6" s="27" t="s">
        <v>1545</v>
      </c>
      <c r="D6" s="27" t="s">
        <v>5</v>
      </c>
      <c r="E6" s="27" t="s">
        <v>1546</v>
      </c>
      <c r="F6" s="27" t="s">
        <v>1498</v>
      </c>
      <c r="G6" s="27" t="s">
        <v>1547</v>
      </c>
      <c r="H6" s="27" t="s">
        <v>1548</v>
      </c>
      <c r="I6" s="27" t="s">
        <v>1549</v>
      </c>
      <c r="J6" s="27" t="s">
        <v>1550</v>
      </c>
      <c r="K6" s="27" t="s">
        <v>1551</v>
      </c>
      <c r="L6" s="27" t="s">
        <v>1159</v>
      </c>
      <c r="M6" s="27" t="s">
        <v>1160</v>
      </c>
      <c r="N6" s="27" t="s">
        <v>1161</v>
      </c>
      <c r="O6" s="27" t="s">
        <v>1162</v>
      </c>
      <c r="P6" s="27" t="s">
        <v>1552</v>
      </c>
      <c r="Q6" s="27" t="s">
        <v>1553</v>
      </c>
      <c r="R6" s="27" t="s">
        <v>1554</v>
      </c>
      <c r="S6" s="27" t="s">
        <v>1555</v>
      </c>
      <c r="T6" s="27" t="s">
        <v>1556</v>
      </c>
      <c r="U6" s="27" t="s">
        <v>1557</v>
      </c>
      <c r="V6" s="27" t="s">
        <v>1558</v>
      </c>
      <c r="W6" s="27" t="s">
        <v>1559</v>
      </c>
      <c r="X6" s="27" t="s">
        <v>1560</v>
      </c>
      <c r="Y6" s="27" t="s">
        <v>1561</v>
      </c>
      <c r="Z6" s="27" t="s">
        <v>1562</v>
      </c>
      <c r="AA6" s="27" t="s">
        <v>1563</v>
      </c>
      <c r="AB6" s="27" t="s">
        <v>1564</v>
      </c>
      <c r="AC6" s="27" t="s">
        <v>1565</v>
      </c>
      <c r="AD6" s="27" t="s">
        <v>1566</v>
      </c>
      <c r="AE6" s="27" t="s">
        <v>1567</v>
      </c>
      <c r="AF6" s="27" t="s">
        <v>1568</v>
      </c>
      <c r="AG6" s="27" t="s">
        <v>1569</v>
      </c>
    </row>
    <row r="7" customFormat="false" ht="15" hidden="false" customHeight="false" outlineLevel="0" collapsed="false">
      <c r="A7" s="131" t="s">
        <v>1570</v>
      </c>
      <c r="B7" s="131" t="s">
        <v>1476</v>
      </c>
      <c r="C7" s="131" t="s">
        <v>1571</v>
      </c>
      <c r="D7" s="135" t="str">
        <f aca="false">Client_Register!$D$22</f>
        <v>EUR</v>
      </c>
      <c r="E7" s="131" t="s">
        <v>1572</v>
      </c>
      <c r="F7" s="116" t="n">
        <v>45900</v>
      </c>
      <c r="G7" s="116" t="n">
        <v>46081</v>
      </c>
      <c r="H7" s="103" t="n">
        <v>74000</v>
      </c>
      <c r="I7" s="133" t="n">
        <v>760</v>
      </c>
      <c r="J7" s="103" t="n">
        <v>0</v>
      </c>
      <c r="K7" s="130" t="n">
        <v>0</v>
      </c>
      <c r="L7" s="130" t="n">
        <v>1</v>
      </c>
      <c r="M7" s="130" t="n">
        <v>1</v>
      </c>
      <c r="N7" s="130" t="n">
        <v>1</v>
      </c>
      <c r="O7" s="62" t="n">
        <f aca="false">CHOOSE(Assumptions!$C$11,L7,M7,N7)</f>
        <v>1</v>
      </c>
      <c r="P7" s="133" t="n">
        <v>605</v>
      </c>
      <c r="Q7" s="103" t="n">
        <v>58907.89</v>
      </c>
      <c r="R7" s="103" t="n">
        <v>51800</v>
      </c>
      <c r="S7" s="132" t="n">
        <f aca="false">IF(OR(E7="Contracted",E7="Pipeline"),Assumptions!$F$117,0)</f>
        <v>0</v>
      </c>
      <c r="T7" s="132" t="n">
        <f aca="false">((YEAR(F7)-YEAR(Assumptions!$C$8))*12+MONTH(F7)-MONTH(Assumptions!$C$8)+1)+S7</f>
        <v>-4</v>
      </c>
      <c r="U7" s="132" t="n">
        <f aca="false">((YEAR(G7)-YEAR(Assumptions!$C$8))*12+MONTH(G7)-MONTH(Assumptions!$C$8)+1)+S7</f>
        <v>2</v>
      </c>
      <c r="V7" s="132" t="n">
        <f aca="false">T7+ROUND((U7-T7)/2,0)</f>
        <v>-1</v>
      </c>
      <c r="W7" s="71" t="n">
        <f aca="false">H7*O7</f>
        <v>74000</v>
      </c>
      <c r="X7" s="72" t="n">
        <f aca="false">P7+SUMIFS(Inputs_Actuals!$E$48:$AB$48,Assumptions!$E$100:$AB$100,"A")</f>
        <v>790</v>
      </c>
      <c r="Y7" s="72" t="n">
        <f aca="false">IF(OR(E7="Contracted",E7="Pipeline"),I7*O7,N(INDEX(Inputs_Actuals!$E$49:$AB$49,Assumptions!$C$10)))</f>
        <v>0</v>
      </c>
      <c r="Z7" s="62" t="n">
        <f aca="false">IF(E7="Completed",0,Assumptions!$F$118)</f>
        <v>0</v>
      </c>
      <c r="AA7" s="72" t="n">
        <f aca="false">X7+Y7*(1+Z7)</f>
        <v>790</v>
      </c>
      <c r="AB7" s="113" t="n">
        <f aca="false">MIN(1,MAX(0,(Assumptions!$C$10-T7+1)/(U7-T7+1)))</f>
        <v>1</v>
      </c>
      <c r="AC7" s="113" t="n">
        <f aca="false">3*AB7^2-2*AB7^3</f>
        <v>1</v>
      </c>
      <c r="AD7" s="71" t="n">
        <f aca="false">0</f>
        <v>0</v>
      </c>
      <c r="AE7" s="71" t="n">
        <f aca="false">MAX(0,J7*O7-AD7)</f>
        <v>0</v>
      </c>
      <c r="AF7" s="111" t="n">
        <f aca="false">IF(AA7=0,0,W7/AA7)</f>
        <v>93.6708860759494</v>
      </c>
      <c r="AG7" s="111" t="n">
        <f aca="false">IF(I7=0,0,H7/I7)</f>
        <v>97.3684210526316</v>
      </c>
    </row>
    <row r="8" customFormat="false" ht="15" hidden="false" customHeight="false" outlineLevel="0" collapsed="false">
      <c r="A8" s="131" t="s">
        <v>1573</v>
      </c>
      <c r="B8" s="131" t="s">
        <v>1451</v>
      </c>
      <c r="C8" s="131" t="s">
        <v>1574</v>
      </c>
      <c r="D8" s="135" t="str">
        <f aca="false">Client_Register!$D$12</f>
        <v>GBP</v>
      </c>
      <c r="E8" s="131" t="s">
        <v>1572</v>
      </c>
      <c r="F8" s="116" t="n">
        <v>45930</v>
      </c>
      <c r="G8" s="116" t="n">
        <v>46142</v>
      </c>
      <c r="H8" s="103" t="n">
        <v>120000</v>
      </c>
      <c r="I8" s="133" t="n">
        <v>1250</v>
      </c>
      <c r="J8" s="103" t="n">
        <v>0</v>
      </c>
      <c r="K8" s="130" t="n">
        <v>0</v>
      </c>
      <c r="L8" s="130" t="n">
        <v>1</v>
      </c>
      <c r="M8" s="130" t="n">
        <v>1</v>
      </c>
      <c r="N8" s="130" t="n">
        <v>1</v>
      </c>
      <c r="O8" s="62" t="n">
        <f aca="false">CHOOSE(Assumptions!$C$11,L8,M8,N8)</f>
        <v>1</v>
      </c>
      <c r="P8" s="133" t="n">
        <v>606.8</v>
      </c>
      <c r="Q8" s="103" t="n">
        <v>58252.8</v>
      </c>
      <c r="R8" s="103" t="n">
        <v>36000</v>
      </c>
      <c r="S8" s="132" t="n">
        <f aca="false">IF(OR(E8="Contracted",E8="Pipeline"),Assumptions!$F$117,0)</f>
        <v>0</v>
      </c>
      <c r="T8" s="132" t="n">
        <f aca="false">((YEAR(F8)-YEAR(Assumptions!$C$8))*12+MONTH(F8)-MONTH(Assumptions!$C$8)+1)+S8</f>
        <v>-3</v>
      </c>
      <c r="U8" s="132" t="n">
        <f aca="false">((YEAR(G8)-YEAR(Assumptions!$C$8))*12+MONTH(G8)-MONTH(Assumptions!$C$8)+1)+S8</f>
        <v>4</v>
      </c>
      <c r="V8" s="132" t="n">
        <f aca="false">T8+ROUND((U8-T8)/2,0)</f>
        <v>1</v>
      </c>
      <c r="W8" s="71" t="n">
        <f aca="false">H8*O8</f>
        <v>120000</v>
      </c>
      <c r="X8" s="72" t="n">
        <f aca="false">P8+SUMIFS(Inputs_Actuals!$E$53:$AB$53,Assumptions!$E$100:$AB$100,"A")</f>
        <v>1300</v>
      </c>
      <c r="Y8" s="72" t="n">
        <f aca="false">IF(OR(E8="Contracted",E8="Pipeline"),I8*O8,N(INDEX(Inputs_Actuals!$E$54:$AB$54,Assumptions!$C$10)))</f>
        <v>0</v>
      </c>
      <c r="Z8" s="62" t="n">
        <f aca="false">IF(E8="Completed",0,Assumptions!$F$118)</f>
        <v>0</v>
      </c>
      <c r="AA8" s="72" t="n">
        <f aca="false">X8+Y8*(1+Z8)</f>
        <v>1300</v>
      </c>
      <c r="AB8" s="113" t="n">
        <f aca="false">MIN(1,MAX(0,(Assumptions!$C$10-T8+1)/(U8-T8+1)))</f>
        <v>1</v>
      </c>
      <c r="AC8" s="113" t="n">
        <f aca="false">3*AB8^2-2*AB8^3</f>
        <v>1</v>
      </c>
      <c r="AD8" s="71" t="n">
        <f aca="false">0</f>
        <v>0</v>
      </c>
      <c r="AE8" s="71" t="n">
        <f aca="false">MAX(0,J8*O8-AD8)</f>
        <v>0</v>
      </c>
      <c r="AF8" s="111" t="n">
        <f aca="false">IF(AA8=0,0,W8/AA8)</f>
        <v>92.3076923076923</v>
      </c>
      <c r="AG8" s="111" t="n">
        <f aca="false">IF(I8=0,0,H8/I8)</f>
        <v>96</v>
      </c>
    </row>
    <row r="9" customFormat="false" ht="15" hidden="false" customHeight="false" outlineLevel="0" collapsed="false">
      <c r="A9" s="131" t="s">
        <v>1575</v>
      </c>
      <c r="B9" s="131" t="s">
        <v>1439</v>
      </c>
      <c r="C9" s="131" t="s">
        <v>1576</v>
      </c>
      <c r="D9" s="135" t="str">
        <f aca="false">Client_Register!$D$7</f>
        <v>GBP</v>
      </c>
      <c r="E9" s="131" t="s">
        <v>1572</v>
      </c>
      <c r="F9" s="116" t="n">
        <v>45961</v>
      </c>
      <c r="G9" s="116" t="n">
        <v>46112</v>
      </c>
      <c r="H9" s="103" t="n">
        <v>95000</v>
      </c>
      <c r="I9" s="133" t="n">
        <v>1000</v>
      </c>
      <c r="J9" s="103" t="n">
        <v>0</v>
      </c>
      <c r="K9" s="130" t="n">
        <v>0</v>
      </c>
      <c r="L9" s="130" t="n">
        <v>1</v>
      </c>
      <c r="M9" s="130" t="n">
        <v>1</v>
      </c>
      <c r="N9" s="130" t="n">
        <v>1</v>
      </c>
      <c r="O9" s="62" t="n">
        <f aca="false">CHOOSE(Assumptions!$C$11,L9,M9,N9)</f>
        <v>1</v>
      </c>
      <c r="P9" s="133" t="n">
        <v>505.8</v>
      </c>
      <c r="Q9" s="103" t="n">
        <v>48051</v>
      </c>
      <c r="R9" s="103" t="n">
        <v>28500</v>
      </c>
      <c r="S9" s="132" t="n">
        <f aca="false">IF(OR(E9="Contracted",E9="Pipeline"),Assumptions!$F$117,0)</f>
        <v>0</v>
      </c>
      <c r="T9" s="132" t="n">
        <f aca="false">((YEAR(F9)-YEAR(Assumptions!$C$8))*12+MONTH(F9)-MONTH(Assumptions!$C$8)+1)+S9</f>
        <v>-2</v>
      </c>
      <c r="U9" s="132" t="n">
        <f aca="false">((YEAR(G9)-YEAR(Assumptions!$C$8))*12+MONTH(G9)-MONTH(Assumptions!$C$8)+1)+S9</f>
        <v>3</v>
      </c>
      <c r="V9" s="132" t="n">
        <f aca="false">T9+ROUND((U9-T9)/2,0)</f>
        <v>1</v>
      </c>
      <c r="W9" s="71" t="n">
        <f aca="false">H9*O9</f>
        <v>95000</v>
      </c>
      <c r="X9" s="72" t="n">
        <f aca="false">P9+SUMIFS(Inputs_Actuals!$E$58:$AB$58,Assumptions!$E$100:$AB$100,"A")</f>
        <v>1000</v>
      </c>
      <c r="Y9" s="72" t="n">
        <f aca="false">IF(OR(E9="Contracted",E9="Pipeline"),I9*O9,N(INDEX(Inputs_Actuals!$E$59:$AB$59,Assumptions!$C$10)))</f>
        <v>0</v>
      </c>
      <c r="Z9" s="62" t="n">
        <f aca="false">IF(E9="Completed",0,Assumptions!$F$118)</f>
        <v>0</v>
      </c>
      <c r="AA9" s="72" t="n">
        <f aca="false">X9+Y9*(1+Z9)</f>
        <v>1000</v>
      </c>
      <c r="AB9" s="113" t="n">
        <f aca="false">MIN(1,MAX(0,(Assumptions!$C$10-T9+1)/(U9-T9+1)))</f>
        <v>1</v>
      </c>
      <c r="AC9" s="113" t="n">
        <f aca="false">3*AB9^2-2*AB9^3</f>
        <v>1</v>
      </c>
      <c r="AD9" s="71" t="n">
        <f aca="false">0</f>
        <v>0</v>
      </c>
      <c r="AE9" s="71" t="n">
        <f aca="false">MAX(0,J9*O9-AD9)</f>
        <v>0</v>
      </c>
      <c r="AF9" s="111" t="n">
        <f aca="false">IF(AA9=0,0,W9/AA9)</f>
        <v>95</v>
      </c>
      <c r="AG9" s="111" t="n">
        <f aca="false">IF(I9=0,0,H9/I9)</f>
        <v>95</v>
      </c>
    </row>
    <row r="10" customFormat="false" ht="15" hidden="false" customHeight="false" outlineLevel="0" collapsed="false">
      <c r="A10" s="131" t="s">
        <v>1577</v>
      </c>
      <c r="B10" s="131" t="s">
        <v>1460</v>
      </c>
      <c r="C10" s="131" t="s">
        <v>1578</v>
      </c>
      <c r="D10" s="135" t="str">
        <f aca="false">Client_Register!$D$16</f>
        <v>USD</v>
      </c>
      <c r="E10" s="131" t="s">
        <v>267</v>
      </c>
      <c r="F10" s="116" t="n">
        <v>46081</v>
      </c>
      <c r="G10" s="116" t="n">
        <v>46326</v>
      </c>
      <c r="H10" s="103" t="n">
        <v>226500</v>
      </c>
      <c r="I10" s="133" t="n">
        <v>2300</v>
      </c>
      <c r="J10" s="103" t="n">
        <v>0</v>
      </c>
      <c r="K10" s="130" t="n">
        <v>0</v>
      </c>
      <c r="L10" s="130" t="n">
        <v>1</v>
      </c>
      <c r="M10" s="130" t="n">
        <v>1</v>
      </c>
      <c r="N10" s="130" t="n">
        <v>1</v>
      </c>
      <c r="O10" s="62" t="n">
        <f aca="false">CHOOSE(Assumptions!$C$11,L10,M10,N10)</f>
        <v>1</v>
      </c>
      <c r="P10" s="133" t="n">
        <v>0</v>
      </c>
      <c r="Q10" s="103" t="n">
        <v>0</v>
      </c>
      <c r="R10" s="103" t="n">
        <v>0</v>
      </c>
      <c r="S10" s="132" t="n">
        <f aca="false">IF(OR(E10="Contracted",E10="Pipeline"),Assumptions!$F$117,0)</f>
        <v>0</v>
      </c>
      <c r="T10" s="132" t="n">
        <f aca="false">((YEAR(F10)-YEAR(Assumptions!$C$8))*12+MONTH(F10)-MONTH(Assumptions!$C$8)+1)+S10</f>
        <v>2</v>
      </c>
      <c r="U10" s="132" t="n">
        <f aca="false">((YEAR(G10)-YEAR(Assumptions!$C$8))*12+MONTH(G10)-MONTH(Assumptions!$C$8)+1)+S10</f>
        <v>10</v>
      </c>
      <c r="V10" s="132" t="n">
        <f aca="false">T10+ROUND((U10-T10)/2,0)</f>
        <v>6</v>
      </c>
      <c r="W10" s="71" t="n">
        <f aca="false">H10*O10</f>
        <v>226500</v>
      </c>
      <c r="X10" s="72" t="n">
        <f aca="false">P10+SUMIFS(Inputs_Actuals!$E$63:$AB$63,Assumptions!$E$100:$AB$100,"A")</f>
        <v>2487.3</v>
      </c>
      <c r="Y10" s="72" t="n">
        <f aca="false">IF(OR(E10="Contracted",E10="Pipeline"),I10*O10,N(INDEX(Inputs_Actuals!$E$64:$AB$64,Assumptions!$C$10)))</f>
        <v>462.7</v>
      </c>
      <c r="Z10" s="62" t="n">
        <f aca="false">IF(E10="Completed",0,Assumptions!$F$118)</f>
        <v>0</v>
      </c>
      <c r="AA10" s="72" t="n">
        <f aca="false">X10+Y10*(1+Z10)</f>
        <v>2950</v>
      </c>
      <c r="AB10" s="113" t="n">
        <f aca="false">MIN(1,MAX(0,(Assumptions!$C$10-T10+1)/(U10-T10+1)))</f>
        <v>0.777777777777778</v>
      </c>
      <c r="AC10" s="113" t="n">
        <f aca="false">3*AB10^2-2*AB10^3</f>
        <v>0.873799725651578</v>
      </c>
      <c r="AD10" s="71" t="n">
        <f aca="false">0</f>
        <v>0</v>
      </c>
      <c r="AE10" s="71" t="n">
        <f aca="false">MAX(0,J10*O10-AD10)</f>
        <v>0</v>
      </c>
      <c r="AF10" s="111" t="n">
        <f aca="false">IF(AA10=0,0,W10/AA10)</f>
        <v>76.7796610169492</v>
      </c>
      <c r="AG10" s="111" t="n">
        <f aca="false">IF(I10=0,0,H10/I10)</f>
        <v>98.4782608695652</v>
      </c>
    </row>
    <row r="11" customFormat="false" ht="15" hidden="false" customHeight="false" outlineLevel="0" collapsed="false">
      <c r="A11" s="131" t="s">
        <v>1579</v>
      </c>
      <c r="B11" s="131" t="s">
        <v>1449</v>
      </c>
      <c r="C11" s="131" t="s">
        <v>1580</v>
      </c>
      <c r="D11" s="135" t="str">
        <f aca="false">Client_Register!$D$11</f>
        <v>GBP</v>
      </c>
      <c r="E11" s="131" t="s">
        <v>267</v>
      </c>
      <c r="F11" s="116" t="n">
        <v>46112</v>
      </c>
      <c r="G11" s="116" t="n">
        <v>46295</v>
      </c>
      <c r="H11" s="103" t="n">
        <v>145000</v>
      </c>
      <c r="I11" s="133" t="n">
        <v>1450</v>
      </c>
      <c r="J11" s="103" t="n">
        <v>0</v>
      </c>
      <c r="K11" s="130" t="n">
        <v>0</v>
      </c>
      <c r="L11" s="130" t="n">
        <v>1</v>
      </c>
      <c r="M11" s="130" t="n">
        <v>1</v>
      </c>
      <c r="N11" s="130" t="n">
        <v>1</v>
      </c>
      <c r="O11" s="62" t="n">
        <f aca="false">CHOOSE(Assumptions!$C$11,L11,M11,N11)</f>
        <v>1</v>
      </c>
      <c r="P11" s="133" t="n">
        <v>0</v>
      </c>
      <c r="Q11" s="103" t="n">
        <v>0</v>
      </c>
      <c r="R11" s="103" t="n">
        <v>0</v>
      </c>
      <c r="S11" s="132" t="n">
        <f aca="false">IF(OR(E11="Contracted",E11="Pipeline"),Assumptions!$F$117,0)</f>
        <v>0</v>
      </c>
      <c r="T11" s="132" t="n">
        <f aca="false">((YEAR(F11)-YEAR(Assumptions!$C$8))*12+MONTH(F11)-MONTH(Assumptions!$C$8)+1)+S11</f>
        <v>3</v>
      </c>
      <c r="U11" s="132" t="n">
        <f aca="false">((YEAR(G11)-YEAR(Assumptions!$C$8))*12+MONTH(G11)-MONTH(Assumptions!$C$8)+1)+S11</f>
        <v>9</v>
      </c>
      <c r="V11" s="132" t="n">
        <f aca="false">T11+ROUND((U11-T11)/2,0)</f>
        <v>6</v>
      </c>
      <c r="W11" s="71" t="n">
        <f aca="false">H11*O11</f>
        <v>145000</v>
      </c>
      <c r="X11" s="72" t="n">
        <f aca="false">P11+SUMIFS(Inputs_Actuals!$E$68:$AB$68,Assumptions!$E$100:$AB$100,"A")</f>
        <v>1409.6</v>
      </c>
      <c r="Y11" s="72" t="n">
        <f aca="false">IF(OR(E11="Contracted",E11="Pipeline"),I11*O11,N(INDEX(Inputs_Actuals!$E$69:$AB$69,Assumptions!$C$10)))</f>
        <v>90.4</v>
      </c>
      <c r="Z11" s="62" t="n">
        <f aca="false">IF(E11="Completed",0,Assumptions!$F$118)</f>
        <v>0</v>
      </c>
      <c r="AA11" s="72" t="n">
        <f aca="false">X11+Y11*(1+Z11)</f>
        <v>1500</v>
      </c>
      <c r="AB11" s="113" t="n">
        <f aca="false">MIN(1,MAX(0,(Assumptions!$C$10-T11+1)/(U11-T11+1)))</f>
        <v>0.857142857142857</v>
      </c>
      <c r="AC11" s="113" t="n">
        <f aca="false">3*AB11^2-2*AB11^3</f>
        <v>0.944606413994169</v>
      </c>
      <c r="AD11" s="71" t="n">
        <f aca="false">0</f>
        <v>0</v>
      </c>
      <c r="AE11" s="71" t="n">
        <f aca="false">MAX(0,J11*O11-AD11)</f>
        <v>0</v>
      </c>
      <c r="AF11" s="111" t="n">
        <f aca="false">IF(AA11=0,0,W11/AA11)</f>
        <v>96.6666666666667</v>
      </c>
      <c r="AG11" s="111" t="n">
        <f aca="false">IF(I11=0,0,H11/I11)</f>
        <v>100</v>
      </c>
    </row>
    <row r="12" customFormat="false" ht="15" hidden="false" customHeight="false" outlineLevel="0" collapsed="false">
      <c r="A12" s="131" t="s">
        <v>1581</v>
      </c>
      <c r="B12" s="131" t="s">
        <v>1471</v>
      </c>
      <c r="C12" s="131" t="s">
        <v>1582</v>
      </c>
      <c r="D12" s="135" t="str">
        <f aca="false">Client_Register!$D$20</f>
        <v>EUR</v>
      </c>
      <c r="E12" s="131" t="s">
        <v>267</v>
      </c>
      <c r="F12" s="116" t="n">
        <v>46173</v>
      </c>
      <c r="G12" s="116" t="n">
        <v>46326</v>
      </c>
      <c r="H12" s="103" t="n">
        <v>96000</v>
      </c>
      <c r="I12" s="133" t="n">
        <v>960</v>
      </c>
      <c r="J12" s="103" t="n">
        <v>0</v>
      </c>
      <c r="K12" s="130" t="n">
        <v>0</v>
      </c>
      <c r="L12" s="130" t="n">
        <v>1</v>
      </c>
      <c r="M12" s="130" t="n">
        <v>1</v>
      </c>
      <c r="N12" s="130" t="n">
        <v>1</v>
      </c>
      <c r="O12" s="62" t="n">
        <f aca="false">CHOOSE(Assumptions!$C$11,L12,M12,N12)</f>
        <v>1</v>
      </c>
      <c r="P12" s="133" t="n">
        <v>0</v>
      </c>
      <c r="Q12" s="103" t="n">
        <v>0</v>
      </c>
      <c r="R12" s="103" t="n">
        <v>0</v>
      </c>
      <c r="S12" s="132" t="n">
        <f aca="false">IF(OR(E12="Contracted",E12="Pipeline"),Assumptions!$F$117,0)</f>
        <v>0</v>
      </c>
      <c r="T12" s="132" t="n">
        <f aca="false">((YEAR(F12)-YEAR(Assumptions!$C$8))*12+MONTH(F12)-MONTH(Assumptions!$C$8)+1)+S12</f>
        <v>5</v>
      </c>
      <c r="U12" s="132" t="n">
        <f aca="false">((YEAR(G12)-YEAR(Assumptions!$C$8))*12+MONTH(G12)-MONTH(Assumptions!$C$8)+1)+S12</f>
        <v>10</v>
      </c>
      <c r="V12" s="132" t="n">
        <f aca="false">T12+ROUND((U12-T12)/2,0)</f>
        <v>8</v>
      </c>
      <c r="W12" s="71" t="n">
        <f aca="false">H12*O12</f>
        <v>96000</v>
      </c>
      <c r="X12" s="72" t="n">
        <f aca="false">P12+SUMIFS(Inputs_Actuals!$E$73:$AB$73,Assumptions!$E$100:$AB$100,"A")</f>
        <v>721.6</v>
      </c>
      <c r="Y12" s="72" t="n">
        <f aca="false">IF(OR(E12="Contracted",E12="Pipeline"),I12*O12,N(INDEX(Inputs_Actuals!$E$74:$AB$74,Assumptions!$C$10)))</f>
        <v>268.4</v>
      </c>
      <c r="Z12" s="62" t="n">
        <f aca="false">IF(E12="Completed",0,Assumptions!$F$118)</f>
        <v>0</v>
      </c>
      <c r="AA12" s="72" t="n">
        <f aca="false">X12+Y12*(1+Z12)</f>
        <v>990</v>
      </c>
      <c r="AB12" s="113" t="n">
        <f aca="false">MIN(1,MAX(0,(Assumptions!$C$10-T12+1)/(U12-T12+1)))</f>
        <v>0.666666666666667</v>
      </c>
      <c r="AC12" s="113" t="n">
        <f aca="false">3*AB12^2-2*AB12^3</f>
        <v>0.740740740740741</v>
      </c>
      <c r="AD12" s="71" t="n">
        <f aca="false">0</f>
        <v>0</v>
      </c>
      <c r="AE12" s="71" t="n">
        <f aca="false">MAX(0,J12*O12-AD12)</f>
        <v>0</v>
      </c>
      <c r="AF12" s="111" t="n">
        <f aca="false">IF(AA12=0,0,W12/AA12)</f>
        <v>96.969696969697</v>
      </c>
      <c r="AG12" s="111" t="n">
        <f aca="false">IF(I12=0,0,H12/I12)</f>
        <v>100</v>
      </c>
    </row>
    <row r="13" customFormat="false" ht="15" hidden="false" customHeight="false" outlineLevel="0" collapsed="false">
      <c r="A13" s="131" t="s">
        <v>1583</v>
      </c>
      <c r="B13" s="131" t="s">
        <v>1453</v>
      </c>
      <c r="C13" s="131" t="s">
        <v>1584</v>
      </c>
      <c r="D13" s="135" t="str">
        <f aca="false">Client_Register!$D$13</f>
        <v>GBP</v>
      </c>
      <c r="E13" s="131" t="s">
        <v>267</v>
      </c>
      <c r="F13" s="116" t="n">
        <v>46203</v>
      </c>
      <c r="G13" s="116" t="n">
        <v>46356</v>
      </c>
      <c r="H13" s="103" t="n">
        <v>56000</v>
      </c>
      <c r="I13" s="133" t="n">
        <v>560</v>
      </c>
      <c r="J13" s="103" t="n">
        <v>14000</v>
      </c>
      <c r="K13" s="130" t="n">
        <v>0.15</v>
      </c>
      <c r="L13" s="130" t="n">
        <v>1</v>
      </c>
      <c r="M13" s="130" t="n">
        <v>1</v>
      </c>
      <c r="N13" s="130" t="n">
        <v>1</v>
      </c>
      <c r="O13" s="62" t="n">
        <f aca="false">CHOOSE(Assumptions!$C$11,L13,M13,N13)</f>
        <v>1</v>
      </c>
      <c r="P13" s="133" t="n">
        <v>0</v>
      </c>
      <c r="Q13" s="103" t="n">
        <v>0</v>
      </c>
      <c r="R13" s="103" t="n">
        <v>0</v>
      </c>
      <c r="S13" s="132" t="n">
        <f aca="false">IF(OR(E13="Contracted",E13="Pipeline"),Assumptions!$F$117,0)</f>
        <v>0</v>
      </c>
      <c r="T13" s="132" t="n">
        <f aca="false">((YEAR(F13)-YEAR(Assumptions!$C$8))*12+MONTH(F13)-MONTH(Assumptions!$C$8)+1)+S13</f>
        <v>6</v>
      </c>
      <c r="U13" s="132" t="n">
        <f aca="false">((YEAR(G13)-YEAR(Assumptions!$C$8))*12+MONTH(G13)-MONTH(Assumptions!$C$8)+1)+S13</f>
        <v>11</v>
      </c>
      <c r="V13" s="132" t="n">
        <f aca="false">T13+ROUND((U13-T13)/2,0)</f>
        <v>9</v>
      </c>
      <c r="W13" s="71" t="n">
        <f aca="false">H13*O13</f>
        <v>56000</v>
      </c>
      <c r="X13" s="72" t="n">
        <f aca="false">P13+SUMIFS(Inputs_Actuals!$E$78:$AB$78,Assumptions!$E$100:$AB$100,"A")</f>
        <v>275.4</v>
      </c>
      <c r="Y13" s="72" t="n">
        <f aca="false">IF(OR(E13="Contracted",E13="Pipeline"),I13*O13,N(INDEX(Inputs_Actuals!$E$79:$AB$79,Assumptions!$C$10)))</f>
        <v>284.6</v>
      </c>
      <c r="Z13" s="62" t="n">
        <f aca="false">IF(E13="Completed",0,Assumptions!$F$118)</f>
        <v>0</v>
      </c>
      <c r="AA13" s="72" t="n">
        <f aca="false">X13+Y13*(1+Z13)</f>
        <v>560</v>
      </c>
      <c r="AB13" s="113" t="n">
        <f aca="false">MIN(1,MAX(0,(Assumptions!$C$10-T13+1)/(U13-T13+1)))</f>
        <v>0.5</v>
      </c>
      <c r="AC13" s="113" t="n">
        <f aca="false">3*AB13^2-2*AB13^3</f>
        <v>0.5</v>
      </c>
      <c r="AD13" s="71" t="n">
        <f aca="false">SUMIFS(Inputs_Actuals!$E$83:$AB$83,Assumptions!$E$100:$AB$100,"A")</f>
        <v>9800</v>
      </c>
      <c r="AE13" s="71" t="n">
        <f aca="false">MAX(0,J13*O13-AD13)</f>
        <v>4200</v>
      </c>
      <c r="AF13" s="111" t="n">
        <f aca="false">IF(AA13=0,0,W13/AA13)</f>
        <v>100</v>
      </c>
      <c r="AG13" s="111" t="n">
        <f aca="false">IF(I13=0,0,H13/I13)</f>
        <v>100</v>
      </c>
    </row>
    <row r="14" customFormat="false" ht="15" hidden="false" customHeight="false" outlineLevel="0" collapsed="false">
      <c r="A14" s="131" t="s">
        <v>1585</v>
      </c>
      <c r="B14" s="131" t="s">
        <v>1439</v>
      </c>
      <c r="C14" s="131" t="s">
        <v>1586</v>
      </c>
      <c r="D14" s="135" t="str">
        <f aca="false">Client_Register!$D$7</f>
        <v>GBP</v>
      </c>
      <c r="E14" s="131" t="s">
        <v>267</v>
      </c>
      <c r="F14" s="116" t="n">
        <v>46234</v>
      </c>
      <c r="G14" s="116" t="n">
        <v>46356</v>
      </c>
      <c r="H14" s="103" t="n">
        <v>85000</v>
      </c>
      <c r="I14" s="133" t="n">
        <v>800</v>
      </c>
      <c r="J14" s="103" t="n">
        <v>0</v>
      </c>
      <c r="K14" s="130" t="n">
        <v>0</v>
      </c>
      <c r="L14" s="130" t="n">
        <v>1</v>
      </c>
      <c r="M14" s="130" t="n">
        <v>1</v>
      </c>
      <c r="N14" s="130" t="n">
        <v>1</v>
      </c>
      <c r="O14" s="62" t="n">
        <f aca="false">CHOOSE(Assumptions!$C$11,L14,M14,N14)</f>
        <v>1</v>
      </c>
      <c r="P14" s="133" t="n">
        <v>0</v>
      </c>
      <c r="Q14" s="103" t="n">
        <v>0</v>
      </c>
      <c r="R14" s="103" t="n">
        <v>0</v>
      </c>
      <c r="S14" s="132" t="n">
        <f aca="false">IF(OR(E14="Contracted",E14="Pipeline"),Assumptions!$F$117,0)</f>
        <v>0</v>
      </c>
      <c r="T14" s="132" t="n">
        <f aca="false">((YEAR(F14)-YEAR(Assumptions!$C$8))*12+MONTH(F14)-MONTH(Assumptions!$C$8)+1)+S14</f>
        <v>7</v>
      </c>
      <c r="U14" s="132" t="n">
        <f aca="false">((YEAR(G14)-YEAR(Assumptions!$C$8))*12+MONTH(G14)-MONTH(Assumptions!$C$8)+1)+S14</f>
        <v>11</v>
      </c>
      <c r="V14" s="132" t="n">
        <f aca="false">T14+ROUND((U14-T14)/2,0)</f>
        <v>9</v>
      </c>
      <c r="W14" s="71" t="n">
        <f aca="false">H14*O14</f>
        <v>85000</v>
      </c>
      <c r="X14" s="72" t="n">
        <f aca="false">P14+SUMIFS(Inputs_Actuals!$E$84:$AB$84,Assumptions!$E$100:$AB$100,"A")</f>
        <v>281.9</v>
      </c>
      <c r="Y14" s="72" t="n">
        <f aca="false">IF(OR(E14="Contracted",E14="Pipeline"),I14*O14,N(INDEX(Inputs_Actuals!$E$85:$AB$85,Assumptions!$C$10)))</f>
        <v>518.1</v>
      </c>
      <c r="Z14" s="62" t="n">
        <f aca="false">IF(E14="Completed",0,Assumptions!$F$118)</f>
        <v>0</v>
      </c>
      <c r="AA14" s="72" t="n">
        <f aca="false">X14+Y14*(1+Z14)</f>
        <v>800</v>
      </c>
      <c r="AB14" s="113" t="n">
        <f aca="false">MIN(1,MAX(0,(Assumptions!$C$10-T14+1)/(U14-T14+1)))</f>
        <v>0.4</v>
      </c>
      <c r="AC14" s="113" t="n">
        <f aca="false">3*AB14^2-2*AB14^3</f>
        <v>0.352</v>
      </c>
      <c r="AD14" s="71" t="n">
        <f aca="false">0</f>
        <v>0</v>
      </c>
      <c r="AE14" s="71" t="n">
        <f aca="false">MAX(0,J14*O14-AD14)</f>
        <v>0</v>
      </c>
      <c r="AF14" s="111" t="n">
        <f aca="false">IF(AA14=0,0,W14/AA14)</f>
        <v>106.25</v>
      </c>
      <c r="AG14" s="111" t="n">
        <f aca="false">IF(I14=0,0,H14/I14)</f>
        <v>106.25</v>
      </c>
    </row>
    <row r="15" customFormat="false" ht="15" hidden="false" customHeight="false" outlineLevel="0" collapsed="false">
      <c r="A15" s="131" t="s">
        <v>1587</v>
      </c>
      <c r="B15" s="131" t="s">
        <v>1455</v>
      </c>
      <c r="C15" s="131" t="s">
        <v>1588</v>
      </c>
      <c r="D15" s="135" t="str">
        <f aca="false">Client_Register!$D$14</f>
        <v>USD</v>
      </c>
      <c r="E15" s="131" t="s">
        <v>1589</v>
      </c>
      <c r="F15" s="116" t="n">
        <v>46295</v>
      </c>
      <c r="G15" s="116" t="n">
        <v>46387</v>
      </c>
      <c r="H15" s="103" t="n">
        <v>120000</v>
      </c>
      <c r="I15" s="133" t="n">
        <v>950</v>
      </c>
      <c r="J15" s="103" t="n">
        <v>30000</v>
      </c>
      <c r="K15" s="130" t="n">
        <v>0.12</v>
      </c>
      <c r="L15" s="130" t="n">
        <v>1</v>
      </c>
      <c r="M15" s="130" t="n">
        <v>1</v>
      </c>
      <c r="N15" s="130" t="n">
        <v>1</v>
      </c>
      <c r="O15" s="62" t="n">
        <f aca="false">CHOOSE(Assumptions!$C$11,L15,M15,N15)</f>
        <v>1</v>
      </c>
      <c r="P15" s="133" t="n">
        <v>0</v>
      </c>
      <c r="Q15" s="103" t="n">
        <v>0</v>
      </c>
      <c r="R15" s="103" t="n">
        <v>0</v>
      </c>
      <c r="S15" s="132" t="n">
        <f aca="false">IF(OR(E15="Contracted",E15="Pipeline"),Assumptions!$F$117,0)</f>
        <v>0</v>
      </c>
      <c r="T15" s="132" t="n">
        <f aca="false">((YEAR(F15)-YEAR(Assumptions!$C$8))*12+MONTH(F15)-MONTH(Assumptions!$C$8)+1)+S15</f>
        <v>9</v>
      </c>
      <c r="U15" s="132" t="n">
        <f aca="false">((YEAR(G15)-YEAR(Assumptions!$C$8))*12+MONTH(G15)-MONTH(Assumptions!$C$8)+1)+S15</f>
        <v>12</v>
      </c>
      <c r="V15" s="132" t="n">
        <f aca="false">T15+ROUND((U15-T15)/2,0)</f>
        <v>11</v>
      </c>
      <c r="W15" s="71" t="n">
        <f aca="false">H15*O15</f>
        <v>120000</v>
      </c>
      <c r="X15" s="72" t="n">
        <f aca="false">P15</f>
        <v>0</v>
      </c>
      <c r="Y15" s="72" t="n">
        <f aca="false">I15*O15</f>
        <v>950</v>
      </c>
      <c r="Z15" s="62" t="n">
        <f aca="false">IF(E15="Completed",0,Assumptions!$F$118)</f>
        <v>0</v>
      </c>
      <c r="AA15" s="72" t="n">
        <f aca="false">X15+Y15*(1+Z15)</f>
        <v>950</v>
      </c>
      <c r="AB15" s="113" t="n">
        <f aca="false">MIN(1,MAX(0,(Assumptions!$C$10-T15+1)/(U15-T15+1)))</f>
        <v>0</v>
      </c>
      <c r="AC15" s="113" t="n">
        <f aca="false">3*AB15^2-2*AB15^3</f>
        <v>0</v>
      </c>
      <c r="AD15" s="71" t="n">
        <f aca="false">0</f>
        <v>0</v>
      </c>
      <c r="AE15" s="71" t="n">
        <f aca="false">MAX(0,J15*O15-AD15)</f>
        <v>30000</v>
      </c>
      <c r="AF15" s="111" t="n">
        <f aca="false">IF(AA15=0,0,W15/AA15)</f>
        <v>126.315789473684</v>
      </c>
      <c r="AG15" s="111" t="n">
        <f aca="false">IF(I15=0,0,H15/I15)</f>
        <v>126.315789473684</v>
      </c>
    </row>
    <row r="16" customFormat="false" ht="15" hidden="false" customHeight="false" outlineLevel="0" collapsed="false">
      <c r="A16" s="131" t="s">
        <v>1590</v>
      </c>
      <c r="B16" s="131" t="s">
        <v>1487</v>
      </c>
      <c r="C16" s="131" t="s">
        <v>1591</v>
      </c>
      <c r="D16" s="135" t="str">
        <f aca="false">Client_Register!$D$26</f>
        <v>GBP</v>
      </c>
      <c r="E16" s="131" t="s">
        <v>59</v>
      </c>
      <c r="F16" s="116" t="n">
        <v>46446</v>
      </c>
      <c r="G16" s="116" t="n">
        <v>46630</v>
      </c>
      <c r="H16" s="103" t="n">
        <v>240000</v>
      </c>
      <c r="I16" s="133" t="n">
        <v>2300</v>
      </c>
      <c r="J16" s="103" t="n">
        <v>0</v>
      </c>
      <c r="K16" s="130" t="n">
        <v>0</v>
      </c>
      <c r="L16" s="130" t="n">
        <v>0.4</v>
      </c>
      <c r="M16" s="130" t="n">
        <v>0.25</v>
      </c>
      <c r="N16" s="130" t="n">
        <v>0.55</v>
      </c>
      <c r="O16" s="62" t="n">
        <f aca="false">CHOOSE(Assumptions!$C$11,L16,M16,N16)</f>
        <v>0.4</v>
      </c>
      <c r="P16" s="133" t="n">
        <v>0</v>
      </c>
      <c r="Q16" s="103" t="n">
        <v>0</v>
      </c>
      <c r="R16" s="103" t="n">
        <v>0</v>
      </c>
      <c r="S16" s="132" t="n">
        <f aca="false">IF(OR(E16="Contracted",E16="Pipeline"),Assumptions!$F$117,0)</f>
        <v>0</v>
      </c>
      <c r="T16" s="132" t="n">
        <f aca="false">((YEAR(F16)-YEAR(Assumptions!$C$8))*12+MONTH(F16)-MONTH(Assumptions!$C$8)+1)+S16</f>
        <v>14</v>
      </c>
      <c r="U16" s="132" t="n">
        <f aca="false">((YEAR(G16)-YEAR(Assumptions!$C$8))*12+MONTH(G16)-MONTH(Assumptions!$C$8)+1)+S16</f>
        <v>20</v>
      </c>
      <c r="V16" s="132" t="n">
        <f aca="false">T16+ROUND((U16-T16)/2,0)</f>
        <v>17</v>
      </c>
      <c r="W16" s="71" t="n">
        <f aca="false">H16*O16</f>
        <v>96000</v>
      </c>
      <c r="X16" s="72" t="n">
        <f aca="false">P16</f>
        <v>0</v>
      </c>
      <c r="Y16" s="72" t="n">
        <f aca="false">I16*O16</f>
        <v>920</v>
      </c>
      <c r="Z16" s="62" t="n">
        <f aca="false">IF(E16="Completed",0,Assumptions!$F$118)</f>
        <v>0</v>
      </c>
      <c r="AA16" s="72" t="n">
        <f aca="false">X16+Y16*(1+Z16)</f>
        <v>920</v>
      </c>
      <c r="AB16" s="113" t="n">
        <f aca="false">MIN(1,MAX(0,(Assumptions!$C$10-T16+1)/(U16-T16+1)))</f>
        <v>0</v>
      </c>
      <c r="AC16" s="113" t="n">
        <f aca="false">3*AB16^2-2*AB16^3</f>
        <v>0</v>
      </c>
      <c r="AD16" s="71" t="n">
        <f aca="false">0</f>
        <v>0</v>
      </c>
      <c r="AE16" s="71" t="n">
        <f aca="false">MAX(0,J16*O16-AD16)</f>
        <v>0</v>
      </c>
      <c r="AF16" s="111" t="n">
        <f aca="false">IF(AA16=0,0,W16/AA16)</f>
        <v>104.347826086957</v>
      </c>
      <c r="AG16" s="111" t="n">
        <f aca="false">IF(I16=0,0,H16/I16)</f>
        <v>104.347826086957</v>
      </c>
    </row>
    <row r="17" customFormat="false" ht="15" hidden="false" customHeight="false" outlineLevel="0" collapsed="false">
      <c r="A17" s="131" t="s">
        <v>1592</v>
      </c>
      <c r="B17" s="131" t="s">
        <v>1485</v>
      </c>
      <c r="C17" s="131" t="s">
        <v>1593</v>
      </c>
      <c r="D17" s="135" t="str">
        <f aca="false">Client_Register!$D$25</f>
        <v>USD</v>
      </c>
      <c r="E17" s="131" t="s">
        <v>59</v>
      </c>
      <c r="F17" s="116" t="n">
        <v>46356</v>
      </c>
      <c r="G17" s="116" t="n">
        <v>46507</v>
      </c>
      <c r="H17" s="103" t="n">
        <v>160000</v>
      </c>
      <c r="I17" s="133" t="n">
        <v>1500</v>
      </c>
      <c r="J17" s="103" t="n">
        <v>0</v>
      </c>
      <c r="K17" s="130" t="n">
        <v>0</v>
      </c>
      <c r="L17" s="130" t="n">
        <v>0.5</v>
      </c>
      <c r="M17" s="130" t="n">
        <v>0.3</v>
      </c>
      <c r="N17" s="130" t="n">
        <v>0.65</v>
      </c>
      <c r="O17" s="62" t="n">
        <f aca="false">CHOOSE(Assumptions!$C$11,L17,M17,N17)</f>
        <v>0.5</v>
      </c>
      <c r="P17" s="133" t="n">
        <v>0</v>
      </c>
      <c r="Q17" s="103" t="n">
        <v>0</v>
      </c>
      <c r="R17" s="103" t="n">
        <v>0</v>
      </c>
      <c r="S17" s="132" t="n">
        <f aca="false">IF(OR(E17="Contracted",E17="Pipeline"),Assumptions!$F$117,0)</f>
        <v>0</v>
      </c>
      <c r="T17" s="132" t="n">
        <f aca="false">((YEAR(F17)-YEAR(Assumptions!$C$8))*12+MONTH(F17)-MONTH(Assumptions!$C$8)+1)+S17</f>
        <v>11</v>
      </c>
      <c r="U17" s="132" t="n">
        <f aca="false">((YEAR(G17)-YEAR(Assumptions!$C$8))*12+MONTH(G17)-MONTH(Assumptions!$C$8)+1)+S17</f>
        <v>16</v>
      </c>
      <c r="V17" s="132" t="n">
        <f aca="false">T17+ROUND((U17-T17)/2,0)</f>
        <v>14</v>
      </c>
      <c r="W17" s="71" t="n">
        <f aca="false">H17*O17</f>
        <v>80000</v>
      </c>
      <c r="X17" s="72" t="n">
        <f aca="false">P17</f>
        <v>0</v>
      </c>
      <c r="Y17" s="72" t="n">
        <f aca="false">I17*O17</f>
        <v>750</v>
      </c>
      <c r="Z17" s="62" t="n">
        <f aca="false">IF(E17="Completed",0,Assumptions!$F$118)</f>
        <v>0</v>
      </c>
      <c r="AA17" s="72" t="n">
        <f aca="false">X17+Y17*(1+Z17)</f>
        <v>750</v>
      </c>
      <c r="AB17" s="113" t="n">
        <f aca="false">MIN(1,MAX(0,(Assumptions!$C$10-T17+1)/(U17-T17+1)))</f>
        <v>0</v>
      </c>
      <c r="AC17" s="113" t="n">
        <f aca="false">3*AB17^2-2*AB17^3</f>
        <v>0</v>
      </c>
      <c r="AD17" s="71" t="n">
        <f aca="false">0</f>
        <v>0</v>
      </c>
      <c r="AE17" s="71" t="n">
        <f aca="false">MAX(0,J17*O17-AD17)</f>
        <v>0</v>
      </c>
      <c r="AF17" s="111" t="n">
        <f aca="false">IF(AA17=0,0,W17/AA17)</f>
        <v>106.666666666667</v>
      </c>
      <c r="AG17" s="111" t="n">
        <f aca="false">IF(I17=0,0,H17/I17)</f>
        <v>106.666666666667</v>
      </c>
    </row>
    <row r="18" customFormat="false" ht="15" hidden="false" customHeight="false" outlineLevel="0" collapsed="false">
      <c r="A18" s="131" t="s">
        <v>1594</v>
      </c>
      <c r="B18" s="131" t="s">
        <v>1462</v>
      </c>
      <c r="C18" s="131" t="s">
        <v>1595</v>
      </c>
      <c r="D18" s="135" t="str">
        <f aca="false">Client_Register!$D$17</f>
        <v>EUR</v>
      </c>
      <c r="E18" s="131" t="s">
        <v>59</v>
      </c>
      <c r="F18" s="116" t="n">
        <v>46326</v>
      </c>
      <c r="G18" s="116" t="n">
        <v>46418</v>
      </c>
      <c r="H18" s="103" t="n">
        <v>70000</v>
      </c>
      <c r="I18" s="133" t="n">
        <v>700</v>
      </c>
      <c r="J18" s="103" t="n">
        <v>0</v>
      </c>
      <c r="K18" s="130" t="n">
        <v>0</v>
      </c>
      <c r="L18" s="130" t="n">
        <v>0.7</v>
      </c>
      <c r="M18" s="130" t="n">
        <v>0.5</v>
      </c>
      <c r="N18" s="130" t="n">
        <v>0.8</v>
      </c>
      <c r="O18" s="62" t="n">
        <f aca="false">CHOOSE(Assumptions!$C$11,L18,M18,N18)</f>
        <v>0.7</v>
      </c>
      <c r="P18" s="133" t="n">
        <v>0</v>
      </c>
      <c r="Q18" s="103" t="n">
        <v>0</v>
      </c>
      <c r="R18" s="103" t="n">
        <v>0</v>
      </c>
      <c r="S18" s="132" t="n">
        <f aca="false">IF(OR(E18="Contracted",E18="Pipeline"),Assumptions!$F$117,0)</f>
        <v>0</v>
      </c>
      <c r="T18" s="132" t="n">
        <f aca="false">((YEAR(F18)-YEAR(Assumptions!$C$8))*12+MONTH(F18)-MONTH(Assumptions!$C$8)+1)+S18</f>
        <v>10</v>
      </c>
      <c r="U18" s="132" t="n">
        <f aca="false">((YEAR(G18)-YEAR(Assumptions!$C$8))*12+MONTH(G18)-MONTH(Assumptions!$C$8)+1)+S18</f>
        <v>13</v>
      </c>
      <c r="V18" s="132" t="n">
        <f aca="false">T18+ROUND((U18-T18)/2,0)</f>
        <v>12</v>
      </c>
      <c r="W18" s="71" t="n">
        <f aca="false">H18*O18</f>
        <v>49000</v>
      </c>
      <c r="X18" s="72" t="n">
        <f aca="false">P18</f>
        <v>0</v>
      </c>
      <c r="Y18" s="72" t="n">
        <f aca="false">I18*O18</f>
        <v>490</v>
      </c>
      <c r="Z18" s="62" t="n">
        <f aca="false">IF(E18="Completed",0,Assumptions!$F$118)</f>
        <v>0</v>
      </c>
      <c r="AA18" s="72" t="n">
        <f aca="false">X18+Y18*(1+Z18)</f>
        <v>490</v>
      </c>
      <c r="AB18" s="113" t="n">
        <f aca="false">MIN(1,MAX(0,(Assumptions!$C$10-T18+1)/(U18-T18+1)))</f>
        <v>0</v>
      </c>
      <c r="AC18" s="113" t="n">
        <f aca="false">3*AB18^2-2*AB18^3</f>
        <v>0</v>
      </c>
      <c r="AD18" s="71" t="n">
        <f aca="false">0</f>
        <v>0</v>
      </c>
      <c r="AE18" s="71" t="n">
        <f aca="false">MAX(0,J18*O18-AD18)</f>
        <v>0</v>
      </c>
      <c r="AF18" s="111" t="n">
        <f aca="false">IF(AA18=0,0,W18/AA18)</f>
        <v>100</v>
      </c>
      <c r="AG18" s="111" t="n">
        <f aca="false">IF(I18=0,0,H18/I18)</f>
        <v>100</v>
      </c>
    </row>
    <row r="19" customFormat="false" ht="15" hidden="false" customHeight="false" outlineLevel="0" collapsed="false">
      <c r="A19" s="131" t="s">
        <v>1596</v>
      </c>
      <c r="B19" s="131" t="s">
        <v>1489</v>
      </c>
      <c r="C19" s="131" t="s">
        <v>1597</v>
      </c>
      <c r="D19" s="135" t="str">
        <f aca="false">Client_Register!$D$27</f>
        <v>EUR</v>
      </c>
      <c r="E19" s="131" t="s">
        <v>59</v>
      </c>
      <c r="F19" s="116" t="n">
        <v>46477</v>
      </c>
      <c r="G19" s="116" t="n">
        <v>46630</v>
      </c>
      <c r="H19" s="103" t="n">
        <v>110000</v>
      </c>
      <c r="I19" s="133" t="n">
        <v>1100</v>
      </c>
      <c r="J19" s="103" t="n">
        <v>0</v>
      </c>
      <c r="K19" s="130" t="n">
        <v>0</v>
      </c>
      <c r="L19" s="130" t="n">
        <v>0.35</v>
      </c>
      <c r="M19" s="130" t="n">
        <v>0.2</v>
      </c>
      <c r="N19" s="130" t="n">
        <v>0.45</v>
      </c>
      <c r="O19" s="62" t="n">
        <f aca="false">CHOOSE(Assumptions!$C$11,L19,M19,N19)</f>
        <v>0.35</v>
      </c>
      <c r="P19" s="133" t="n">
        <v>0</v>
      </c>
      <c r="Q19" s="103" t="n">
        <v>0</v>
      </c>
      <c r="R19" s="103" t="n">
        <v>0</v>
      </c>
      <c r="S19" s="132" t="n">
        <f aca="false">IF(OR(E19="Contracted",E19="Pipeline"),Assumptions!$F$117,0)</f>
        <v>0</v>
      </c>
      <c r="T19" s="132" t="n">
        <f aca="false">((YEAR(F19)-YEAR(Assumptions!$C$8))*12+MONTH(F19)-MONTH(Assumptions!$C$8)+1)+S19</f>
        <v>15</v>
      </c>
      <c r="U19" s="132" t="n">
        <f aca="false">((YEAR(G19)-YEAR(Assumptions!$C$8))*12+MONTH(G19)-MONTH(Assumptions!$C$8)+1)+S19</f>
        <v>20</v>
      </c>
      <c r="V19" s="132" t="n">
        <f aca="false">T19+ROUND((U19-T19)/2,0)</f>
        <v>18</v>
      </c>
      <c r="W19" s="71" t="n">
        <f aca="false">H19*O19</f>
        <v>38500</v>
      </c>
      <c r="X19" s="72" t="n">
        <f aca="false">P19</f>
        <v>0</v>
      </c>
      <c r="Y19" s="72" t="n">
        <f aca="false">I19*O19</f>
        <v>385</v>
      </c>
      <c r="Z19" s="62" t="n">
        <f aca="false">IF(E19="Completed",0,Assumptions!$F$118)</f>
        <v>0</v>
      </c>
      <c r="AA19" s="72" t="n">
        <f aca="false">X19+Y19*(1+Z19)</f>
        <v>385</v>
      </c>
      <c r="AB19" s="113" t="n">
        <f aca="false">MIN(1,MAX(0,(Assumptions!$C$10-T19+1)/(U19-T19+1)))</f>
        <v>0</v>
      </c>
      <c r="AC19" s="113" t="n">
        <f aca="false">3*AB19^2-2*AB19^3</f>
        <v>0</v>
      </c>
      <c r="AD19" s="71" t="n">
        <f aca="false">0</f>
        <v>0</v>
      </c>
      <c r="AE19" s="71" t="n">
        <f aca="false">MAX(0,J19*O19-AD19)</f>
        <v>0</v>
      </c>
      <c r="AF19" s="111" t="n">
        <f aca="false">IF(AA19=0,0,W19/AA19)</f>
        <v>100</v>
      </c>
      <c r="AG19" s="111" t="n">
        <f aca="false">IF(I19=0,0,H19/I19)</f>
        <v>100</v>
      </c>
    </row>
    <row r="20" customFormat="false" ht="15" hidden="false" customHeight="false" outlineLevel="0" collapsed="false">
      <c r="A20" s="131" t="s">
        <v>1598</v>
      </c>
      <c r="B20" s="131" t="s">
        <v>1491</v>
      </c>
      <c r="C20" s="131" t="s">
        <v>1599</v>
      </c>
      <c r="D20" s="135" t="str">
        <f aca="false">Client_Register!$D$28</f>
        <v>EUR</v>
      </c>
      <c r="E20" s="131" t="s">
        <v>59</v>
      </c>
      <c r="F20" s="116" t="n">
        <v>46418</v>
      </c>
      <c r="G20" s="116" t="n">
        <v>46538</v>
      </c>
      <c r="H20" s="103" t="n">
        <v>240000</v>
      </c>
      <c r="I20" s="133" t="n">
        <v>2300</v>
      </c>
      <c r="J20" s="103" t="n">
        <v>0</v>
      </c>
      <c r="K20" s="130" t="n">
        <v>0</v>
      </c>
      <c r="L20" s="130" t="n">
        <v>0.85</v>
      </c>
      <c r="M20" s="130" t="n">
        <v>0.7</v>
      </c>
      <c r="N20" s="130" t="n">
        <v>1</v>
      </c>
      <c r="O20" s="62" t="n">
        <f aca="false">CHOOSE(Assumptions!$C$11,L20,M20,N20)</f>
        <v>0.85</v>
      </c>
      <c r="P20" s="133" t="n">
        <v>0</v>
      </c>
      <c r="Q20" s="103" t="n">
        <v>0</v>
      </c>
      <c r="R20" s="103" t="n">
        <v>0</v>
      </c>
      <c r="S20" s="132" t="n">
        <f aca="false">IF(OR(E20="Contracted",E20="Pipeline"),Assumptions!$F$117,0)</f>
        <v>0</v>
      </c>
      <c r="T20" s="132" t="n">
        <f aca="false">((YEAR(F20)-YEAR(Assumptions!$C$8))*12+MONTH(F20)-MONTH(Assumptions!$C$8)+1)+S20</f>
        <v>13</v>
      </c>
      <c r="U20" s="132" t="n">
        <f aca="false">((YEAR(G20)-YEAR(Assumptions!$C$8))*12+MONTH(G20)-MONTH(Assumptions!$C$8)+1)+S20</f>
        <v>17</v>
      </c>
      <c r="V20" s="132" t="n">
        <f aca="false">T20+ROUND((U20-T20)/2,0)</f>
        <v>15</v>
      </c>
      <c r="W20" s="71" t="n">
        <f aca="false">H20*O20</f>
        <v>204000</v>
      </c>
      <c r="X20" s="72" t="n">
        <f aca="false">P20</f>
        <v>0</v>
      </c>
      <c r="Y20" s="72" t="n">
        <f aca="false">I20*O20</f>
        <v>1955</v>
      </c>
      <c r="Z20" s="62" t="n">
        <f aca="false">IF(E20="Completed",0,Assumptions!$F$118)</f>
        <v>0</v>
      </c>
      <c r="AA20" s="72" t="n">
        <f aca="false">X20+Y20*(1+Z20)</f>
        <v>1955</v>
      </c>
      <c r="AB20" s="113" t="n">
        <f aca="false">MIN(1,MAX(0,(Assumptions!$C$10-T20+1)/(U20-T20+1)))</f>
        <v>0</v>
      </c>
      <c r="AC20" s="113" t="n">
        <f aca="false">3*AB20^2-2*AB20^3</f>
        <v>0</v>
      </c>
      <c r="AD20" s="71" t="n">
        <f aca="false">0</f>
        <v>0</v>
      </c>
      <c r="AE20" s="71" t="n">
        <f aca="false">MAX(0,J20*O20-AD20)</f>
        <v>0</v>
      </c>
      <c r="AF20" s="111" t="n">
        <f aca="false">IF(AA20=0,0,W20/AA20)</f>
        <v>104.347826086957</v>
      </c>
      <c r="AG20" s="111" t="n">
        <f aca="false">IF(I20=0,0,H20/I20)</f>
        <v>104.347826086957</v>
      </c>
    </row>
    <row r="21" customFormat="false" ht="15" hidden="false" customHeight="false" outlineLevel="0" collapsed="false">
      <c r="A21" s="131" t="s">
        <v>1600</v>
      </c>
      <c r="B21" s="131" t="s">
        <v>1491</v>
      </c>
      <c r="C21" s="131" t="s">
        <v>1601</v>
      </c>
      <c r="D21" s="135" t="str">
        <f aca="false">Client_Register!$D$28</f>
        <v>EUR</v>
      </c>
      <c r="E21" s="131" t="s">
        <v>59</v>
      </c>
      <c r="F21" s="116" t="n">
        <v>46507</v>
      </c>
      <c r="G21" s="116" t="n">
        <v>46630</v>
      </c>
      <c r="H21" s="103" t="n">
        <v>240000</v>
      </c>
      <c r="I21" s="133" t="n">
        <v>2300</v>
      </c>
      <c r="J21" s="103" t="n">
        <v>0</v>
      </c>
      <c r="K21" s="130" t="n">
        <v>0</v>
      </c>
      <c r="L21" s="130" t="n">
        <v>0.85</v>
      </c>
      <c r="M21" s="130" t="n">
        <v>0.7</v>
      </c>
      <c r="N21" s="130" t="n">
        <v>1</v>
      </c>
      <c r="O21" s="62" t="n">
        <f aca="false">CHOOSE(Assumptions!$C$11,L21,M21,N21)</f>
        <v>0.85</v>
      </c>
      <c r="P21" s="133" t="n">
        <v>0</v>
      </c>
      <c r="Q21" s="103" t="n">
        <v>0</v>
      </c>
      <c r="R21" s="103" t="n">
        <v>0</v>
      </c>
      <c r="S21" s="132" t="n">
        <f aca="false">IF(OR(E21="Contracted",E21="Pipeline"),Assumptions!$F$117,0)</f>
        <v>0</v>
      </c>
      <c r="T21" s="132" t="n">
        <f aca="false">((YEAR(F21)-YEAR(Assumptions!$C$8))*12+MONTH(F21)-MONTH(Assumptions!$C$8)+1)+S21</f>
        <v>16</v>
      </c>
      <c r="U21" s="132" t="n">
        <f aca="false">((YEAR(G21)-YEAR(Assumptions!$C$8))*12+MONTH(G21)-MONTH(Assumptions!$C$8)+1)+S21</f>
        <v>20</v>
      </c>
      <c r="V21" s="132" t="n">
        <f aca="false">T21+ROUND((U21-T21)/2,0)</f>
        <v>18</v>
      </c>
      <c r="W21" s="71" t="n">
        <f aca="false">H21*O21</f>
        <v>204000</v>
      </c>
      <c r="X21" s="72" t="n">
        <f aca="false">P21</f>
        <v>0</v>
      </c>
      <c r="Y21" s="72" t="n">
        <f aca="false">I21*O21</f>
        <v>1955</v>
      </c>
      <c r="Z21" s="62" t="n">
        <f aca="false">IF(E21="Completed",0,Assumptions!$F$118)</f>
        <v>0</v>
      </c>
      <c r="AA21" s="72" t="n">
        <f aca="false">X21+Y21*(1+Z21)</f>
        <v>1955</v>
      </c>
      <c r="AB21" s="113" t="n">
        <f aca="false">MIN(1,MAX(0,(Assumptions!$C$10-T21+1)/(U21-T21+1)))</f>
        <v>0</v>
      </c>
      <c r="AC21" s="113" t="n">
        <f aca="false">3*AB21^2-2*AB21^3</f>
        <v>0</v>
      </c>
      <c r="AD21" s="71" t="n">
        <f aca="false">0</f>
        <v>0</v>
      </c>
      <c r="AE21" s="71" t="n">
        <f aca="false">MAX(0,J21*O21-AD21)</f>
        <v>0</v>
      </c>
      <c r="AF21" s="111" t="n">
        <f aca="false">IF(AA21=0,0,W21/AA21)</f>
        <v>104.347826086957</v>
      </c>
      <c r="AG21" s="111" t="n">
        <f aca="false">IF(I21=0,0,H21/I21)</f>
        <v>104.347826086957</v>
      </c>
    </row>
    <row r="22" customFormat="false" ht="15" hidden="false" customHeight="false" outlineLevel="0" collapsed="false">
      <c r="A22" s="131" t="s">
        <v>1602</v>
      </c>
      <c r="B22" s="131" t="s">
        <v>1491</v>
      </c>
      <c r="C22" s="131" t="s">
        <v>1603</v>
      </c>
      <c r="D22" s="135" t="str">
        <f aca="false">Client_Register!$D$28</f>
        <v>EUR</v>
      </c>
      <c r="E22" s="131" t="s">
        <v>59</v>
      </c>
      <c r="F22" s="116" t="n">
        <v>46599</v>
      </c>
      <c r="G22" s="116" t="n">
        <v>46721</v>
      </c>
      <c r="H22" s="103" t="n">
        <v>240000</v>
      </c>
      <c r="I22" s="133" t="n">
        <v>2300</v>
      </c>
      <c r="J22" s="103" t="n">
        <v>0</v>
      </c>
      <c r="K22" s="130" t="n">
        <v>0</v>
      </c>
      <c r="L22" s="130" t="n">
        <v>0.85</v>
      </c>
      <c r="M22" s="130" t="n">
        <v>0.7</v>
      </c>
      <c r="N22" s="130" t="n">
        <v>1</v>
      </c>
      <c r="O22" s="62" t="n">
        <f aca="false">CHOOSE(Assumptions!$C$11,L22,M22,N22)</f>
        <v>0.85</v>
      </c>
      <c r="P22" s="133" t="n">
        <v>0</v>
      </c>
      <c r="Q22" s="103" t="n">
        <v>0</v>
      </c>
      <c r="R22" s="103" t="n">
        <v>0</v>
      </c>
      <c r="S22" s="132" t="n">
        <f aca="false">IF(OR(E22="Contracted",E22="Pipeline"),Assumptions!$F$117,0)</f>
        <v>0</v>
      </c>
      <c r="T22" s="132" t="n">
        <f aca="false">((YEAR(F22)-YEAR(Assumptions!$C$8))*12+MONTH(F22)-MONTH(Assumptions!$C$8)+1)+S22</f>
        <v>19</v>
      </c>
      <c r="U22" s="132" t="n">
        <f aca="false">((YEAR(G22)-YEAR(Assumptions!$C$8))*12+MONTH(G22)-MONTH(Assumptions!$C$8)+1)+S22</f>
        <v>23</v>
      </c>
      <c r="V22" s="132" t="n">
        <f aca="false">T22+ROUND((U22-T22)/2,0)</f>
        <v>21</v>
      </c>
      <c r="W22" s="71" t="n">
        <f aca="false">H22*O22</f>
        <v>204000</v>
      </c>
      <c r="X22" s="72" t="n">
        <f aca="false">P22</f>
        <v>0</v>
      </c>
      <c r="Y22" s="72" t="n">
        <f aca="false">I22*O22</f>
        <v>1955</v>
      </c>
      <c r="Z22" s="62" t="n">
        <f aca="false">IF(E22="Completed",0,Assumptions!$F$118)</f>
        <v>0</v>
      </c>
      <c r="AA22" s="72" t="n">
        <f aca="false">X22+Y22*(1+Z22)</f>
        <v>1955</v>
      </c>
      <c r="AB22" s="113" t="n">
        <f aca="false">MIN(1,MAX(0,(Assumptions!$C$10-T22+1)/(U22-T22+1)))</f>
        <v>0</v>
      </c>
      <c r="AC22" s="113" t="n">
        <f aca="false">3*AB22^2-2*AB22^3</f>
        <v>0</v>
      </c>
      <c r="AD22" s="71" t="n">
        <f aca="false">0</f>
        <v>0</v>
      </c>
      <c r="AE22" s="71" t="n">
        <f aca="false">MAX(0,J22*O22-AD22)</f>
        <v>0</v>
      </c>
      <c r="AF22" s="111" t="n">
        <f aca="false">IF(AA22=0,0,W22/AA22)</f>
        <v>104.347826086957</v>
      </c>
      <c r="AG22" s="111" t="n">
        <f aca="false">IF(I22=0,0,H22/I22)</f>
        <v>104.347826086957</v>
      </c>
    </row>
    <row r="23" customFormat="false" ht="15" hidden="false" customHeight="false" outlineLevel="0" collapsed="false">
      <c r="A23" s="131" t="s">
        <v>1604</v>
      </c>
      <c r="B23" s="131" t="s">
        <v>1491</v>
      </c>
      <c r="C23" s="131" t="s">
        <v>1605</v>
      </c>
      <c r="D23" s="135" t="str">
        <f aca="false">Client_Register!$D$28</f>
        <v>EUR</v>
      </c>
      <c r="E23" s="131" t="s">
        <v>59</v>
      </c>
      <c r="F23" s="116" t="n">
        <v>46691</v>
      </c>
      <c r="G23" s="116" t="n">
        <v>46812</v>
      </c>
      <c r="H23" s="103" t="n">
        <v>240000</v>
      </c>
      <c r="I23" s="133" t="n">
        <v>2300</v>
      </c>
      <c r="J23" s="103" t="n">
        <v>0</v>
      </c>
      <c r="K23" s="130" t="n">
        <v>0</v>
      </c>
      <c r="L23" s="130" t="n">
        <v>0.85</v>
      </c>
      <c r="M23" s="130" t="n">
        <v>0.7</v>
      </c>
      <c r="N23" s="130" t="n">
        <v>1</v>
      </c>
      <c r="O23" s="62" t="n">
        <f aca="false">CHOOSE(Assumptions!$C$11,L23,M23,N23)</f>
        <v>0.85</v>
      </c>
      <c r="P23" s="133" t="n">
        <v>0</v>
      </c>
      <c r="Q23" s="103" t="n">
        <v>0</v>
      </c>
      <c r="R23" s="103" t="n">
        <v>0</v>
      </c>
      <c r="S23" s="132" t="n">
        <f aca="false">IF(OR(E23="Contracted",E23="Pipeline"),Assumptions!$F$117,0)</f>
        <v>0</v>
      </c>
      <c r="T23" s="132" t="n">
        <f aca="false">((YEAR(F23)-YEAR(Assumptions!$C$8))*12+MONTH(F23)-MONTH(Assumptions!$C$8)+1)+S23</f>
        <v>22</v>
      </c>
      <c r="U23" s="132" t="n">
        <f aca="false">((YEAR(G23)-YEAR(Assumptions!$C$8))*12+MONTH(G23)-MONTH(Assumptions!$C$8)+1)+S23</f>
        <v>26</v>
      </c>
      <c r="V23" s="132" t="n">
        <f aca="false">T23+ROUND((U23-T23)/2,0)</f>
        <v>24</v>
      </c>
      <c r="W23" s="71" t="n">
        <f aca="false">H23*O23</f>
        <v>204000</v>
      </c>
      <c r="X23" s="72" t="n">
        <f aca="false">P23</f>
        <v>0</v>
      </c>
      <c r="Y23" s="72" t="n">
        <f aca="false">I23*O23</f>
        <v>1955</v>
      </c>
      <c r="Z23" s="62" t="n">
        <f aca="false">IF(E23="Completed",0,Assumptions!$F$118)</f>
        <v>0</v>
      </c>
      <c r="AA23" s="72" t="n">
        <f aca="false">X23+Y23*(1+Z23)</f>
        <v>1955</v>
      </c>
      <c r="AB23" s="113" t="n">
        <f aca="false">MIN(1,MAX(0,(Assumptions!$C$10-T23+1)/(U23-T23+1)))</f>
        <v>0</v>
      </c>
      <c r="AC23" s="113" t="n">
        <f aca="false">3*AB23^2-2*AB23^3</f>
        <v>0</v>
      </c>
      <c r="AD23" s="71" t="n">
        <f aca="false">0</f>
        <v>0</v>
      </c>
      <c r="AE23" s="71" t="n">
        <f aca="false">MAX(0,J23*O23-AD23)</f>
        <v>0</v>
      </c>
      <c r="AF23" s="111" t="n">
        <f aca="false">IF(AA23=0,0,W23/AA23)</f>
        <v>104.347826086957</v>
      </c>
      <c r="AG23" s="111" t="n">
        <f aca="false">IF(I23=0,0,H23/I23)</f>
        <v>104.347826086957</v>
      </c>
    </row>
    <row r="25" customFormat="false" ht="15" hidden="false" customHeight="false" outlineLevel="0" collapsed="false">
      <c r="A25" s="25" t="s">
        <v>1606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2"/>
    <col collapsed="false" customWidth="true" hidden="false" outlineLevel="0" max="7" min="3" style="0" width="13"/>
    <col collapsed="false" customWidth="true" hidden="false" outlineLevel="0" max="8" min="8" style="0" width="70"/>
  </cols>
  <sheetData>
    <row r="1" customFormat="false" ht="15" hidden="false" customHeight="false" outlineLevel="0" collapsed="false">
      <c r="A1" s="20" t="s">
        <v>1607</v>
      </c>
    </row>
    <row r="2" customFormat="false" ht="17.35" hidden="false" customHeight="false" outlineLevel="0" collapsed="false">
      <c r="A2" s="21" t="s">
        <v>1608</v>
      </c>
    </row>
    <row r="3" customFormat="false" ht="15" hidden="false" customHeight="false" outlineLevel="0" collapsed="false">
      <c r="A3" s="25" t="s">
        <v>1609</v>
      </c>
    </row>
    <row r="5" customFormat="false" ht="15" hidden="false" customHeight="false" outlineLevel="0" collapsed="false">
      <c r="A5" s="22" t="s">
        <v>1610</v>
      </c>
      <c r="B5" s="23"/>
      <c r="C5" s="23"/>
      <c r="D5" s="23"/>
      <c r="E5" s="23"/>
      <c r="F5" s="23"/>
      <c r="G5" s="23"/>
      <c r="H5" s="23"/>
    </row>
    <row r="6" customFormat="false" ht="15" hidden="false" customHeight="false" outlineLevel="0" collapsed="false">
      <c r="A6" s="28" t="s">
        <v>1611</v>
      </c>
      <c r="B6" s="58"/>
      <c r="C6" s="131" t="s">
        <v>1612</v>
      </c>
      <c r="D6" s="58" t="s">
        <v>1613</v>
      </c>
    </row>
    <row r="7" customFormat="false" ht="15" hidden="false" customHeight="false" outlineLevel="0" collapsed="false">
      <c r="A7" s="28" t="s">
        <v>1614</v>
      </c>
      <c r="B7" s="58"/>
      <c r="C7" s="131" t="s">
        <v>524</v>
      </c>
    </row>
    <row r="8" customFormat="false" ht="15" hidden="false" customHeight="false" outlineLevel="0" collapsed="false">
      <c r="A8" s="28" t="s">
        <v>1615</v>
      </c>
      <c r="B8" s="58" t="s">
        <v>1616</v>
      </c>
      <c r="C8" s="127" t="n">
        <v>46053</v>
      </c>
      <c r="D8" s="58" t="s">
        <v>1617</v>
      </c>
    </row>
    <row r="9" customFormat="false" ht="15" hidden="false" customHeight="false" outlineLevel="0" collapsed="false">
      <c r="A9" s="28" t="s">
        <v>1618</v>
      </c>
      <c r="B9" s="58" t="s">
        <v>1616</v>
      </c>
      <c r="C9" s="127" t="n">
        <v>46265</v>
      </c>
      <c r="D9" s="58" t="s">
        <v>1619</v>
      </c>
    </row>
    <row r="10" customFormat="false" ht="15" hidden="false" customHeight="false" outlineLevel="0" collapsed="false">
      <c r="A10" s="28" t="s">
        <v>1620</v>
      </c>
      <c r="B10" s="58" t="s">
        <v>1621</v>
      </c>
      <c r="C10" s="36" t="n">
        <f aca="false">MATCH(Assumptions!$C$9,Assumptions!$E$98:$AB$98,0)</f>
        <v>8</v>
      </c>
    </row>
    <row r="11" customFormat="false" ht="15" hidden="false" customHeight="false" outlineLevel="0" collapsed="false">
      <c r="A11" s="28" t="s">
        <v>1622</v>
      </c>
      <c r="B11" s="58" t="s">
        <v>1623</v>
      </c>
      <c r="C11" s="136" t="n">
        <v>1</v>
      </c>
      <c r="D11" s="58" t="s">
        <v>1624</v>
      </c>
    </row>
    <row r="12" customFormat="false" ht="15" hidden="false" customHeight="false" outlineLevel="0" collapsed="false">
      <c r="A12" s="28" t="s">
        <v>1625</v>
      </c>
      <c r="B12" s="58" t="s">
        <v>1621</v>
      </c>
      <c r="C12" s="137" t="str">
        <f aca="false">CHOOSE(Assumptions!$C$11,"Base","Downside","Upside")</f>
        <v>Base</v>
      </c>
    </row>
    <row r="13" customFormat="false" ht="15" hidden="false" customHeight="false" outlineLevel="0" collapsed="false">
      <c r="A13" s="28" t="s">
        <v>627</v>
      </c>
      <c r="B13" s="58" t="s">
        <v>524</v>
      </c>
      <c r="C13" s="103" t="n">
        <v>350000</v>
      </c>
      <c r="D13" s="58" t="s">
        <v>1626</v>
      </c>
    </row>
    <row r="14" customFormat="false" ht="15" hidden="false" customHeight="false" outlineLevel="0" collapsed="false">
      <c r="A14" s="28" t="s">
        <v>1627</v>
      </c>
      <c r="B14" s="58" t="s">
        <v>524</v>
      </c>
      <c r="C14" s="103" t="n">
        <v>300000</v>
      </c>
      <c r="D14" s="58" t="s">
        <v>1628</v>
      </c>
    </row>
    <row r="15" customFormat="false" ht="15" hidden="false" customHeight="false" outlineLevel="0" collapsed="false">
      <c r="A15" s="28" t="s">
        <v>1629</v>
      </c>
      <c r="B15" s="58" t="s">
        <v>1621</v>
      </c>
      <c r="C15" s="108" t="n">
        <f aca="false">Assumptions!$C$9</f>
        <v>46265</v>
      </c>
    </row>
    <row r="17" customFormat="false" ht="15" hidden="false" customHeight="false" outlineLevel="0" collapsed="false">
      <c r="A17" s="22" t="s">
        <v>1630</v>
      </c>
      <c r="B17" s="23"/>
      <c r="C17" s="23"/>
      <c r="D17" s="23"/>
      <c r="E17" s="23"/>
      <c r="F17" s="23"/>
      <c r="G17" s="23"/>
      <c r="H17" s="23"/>
    </row>
    <row r="18" customFormat="false" ht="15" hidden="false" customHeight="false" outlineLevel="0" collapsed="false">
      <c r="A18" s="28" t="s">
        <v>1631</v>
      </c>
      <c r="B18" s="58" t="s">
        <v>1632</v>
      </c>
      <c r="C18" s="130" t="n">
        <v>0.24</v>
      </c>
      <c r="D18" s="58" t="s">
        <v>1633</v>
      </c>
    </row>
    <row r="19" customFormat="false" ht="15" hidden="false" customHeight="false" outlineLevel="0" collapsed="false">
      <c r="A19" s="28" t="s">
        <v>1634</v>
      </c>
      <c r="B19" s="58" t="s">
        <v>1632</v>
      </c>
      <c r="C19" s="138" t="n">
        <f aca="false">22/78</f>
        <v>0.282051282051282</v>
      </c>
      <c r="D19" s="58" t="s">
        <v>1635</v>
      </c>
    </row>
    <row r="20" customFormat="false" ht="15" hidden="false" customHeight="false" outlineLevel="0" collapsed="false">
      <c r="A20" s="28" t="s">
        <v>1636</v>
      </c>
      <c r="B20" s="58" t="s">
        <v>1632</v>
      </c>
      <c r="C20" s="130" t="n">
        <v>0.33</v>
      </c>
      <c r="D20" s="58" t="s">
        <v>1637</v>
      </c>
    </row>
    <row r="21" customFormat="false" ht="15" hidden="false" customHeight="false" outlineLevel="0" collapsed="false">
      <c r="A21" s="28" t="s">
        <v>1638</v>
      </c>
      <c r="B21" s="58" t="s">
        <v>1632</v>
      </c>
      <c r="C21" s="139" t="n">
        <v>0.008</v>
      </c>
      <c r="D21" s="58" t="s">
        <v>1639</v>
      </c>
    </row>
    <row r="22" customFormat="false" ht="15" hidden="false" customHeight="false" outlineLevel="0" collapsed="false">
      <c r="A22" s="28" t="s">
        <v>1640</v>
      </c>
      <c r="B22" s="58" t="s">
        <v>1632</v>
      </c>
      <c r="C22" s="139" t="n">
        <v>0.016</v>
      </c>
      <c r="D22" s="58" t="s">
        <v>1639</v>
      </c>
    </row>
    <row r="23" customFormat="false" ht="15" hidden="false" customHeight="false" outlineLevel="0" collapsed="false">
      <c r="A23" s="28" t="s">
        <v>1641</v>
      </c>
      <c r="B23" s="58" t="s">
        <v>1632</v>
      </c>
      <c r="C23" s="139" t="n">
        <v>0.02</v>
      </c>
      <c r="D23" s="58" t="s">
        <v>1642</v>
      </c>
    </row>
    <row r="24" customFormat="false" ht="15" hidden="false" customHeight="false" outlineLevel="0" collapsed="false">
      <c r="A24" s="28" t="s">
        <v>1643</v>
      </c>
      <c r="B24" s="58" t="s">
        <v>1632</v>
      </c>
      <c r="C24" s="130" t="n">
        <v>0.22</v>
      </c>
      <c r="D24" s="58" t="s">
        <v>1644</v>
      </c>
    </row>
    <row r="25" customFormat="false" ht="15" hidden="false" customHeight="false" outlineLevel="0" collapsed="false">
      <c r="A25" s="28" t="s">
        <v>1645</v>
      </c>
      <c r="B25" s="58" t="s">
        <v>524</v>
      </c>
      <c r="C25" s="103" t="n">
        <v>700</v>
      </c>
      <c r="D25" s="58" t="s">
        <v>1646</v>
      </c>
    </row>
    <row r="26" customFormat="false" ht="15" hidden="false" customHeight="false" outlineLevel="0" collapsed="false">
      <c r="A26" s="28" t="s">
        <v>1647</v>
      </c>
      <c r="B26" s="58" t="s">
        <v>1648</v>
      </c>
      <c r="C26" s="130" t="n">
        <v>0.4</v>
      </c>
      <c r="D26" s="58" t="s">
        <v>1649</v>
      </c>
    </row>
    <row r="27" customFormat="false" ht="15" hidden="false" customHeight="false" outlineLevel="0" collapsed="false">
      <c r="A27" s="28" t="s">
        <v>1650</v>
      </c>
      <c r="B27" s="58" t="s">
        <v>1648</v>
      </c>
      <c r="C27" s="130" t="n">
        <v>0.45</v>
      </c>
      <c r="D27" s="58" t="s">
        <v>1651</v>
      </c>
    </row>
    <row r="28" customFormat="false" ht="15" hidden="false" customHeight="false" outlineLevel="0" collapsed="false">
      <c r="A28" s="28" t="s">
        <v>1652</v>
      </c>
      <c r="B28" s="58" t="s">
        <v>1648</v>
      </c>
      <c r="C28" s="130" t="n">
        <v>0.75</v>
      </c>
      <c r="D28" s="58" t="s">
        <v>1653</v>
      </c>
    </row>
    <row r="30" customFormat="false" ht="15" hidden="false" customHeight="false" outlineLevel="0" collapsed="false">
      <c r="A30" s="22" t="s">
        <v>1654</v>
      </c>
      <c r="B30" s="23"/>
      <c r="C30" s="23"/>
      <c r="D30" s="23"/>
      <c r="E30" s="23"/>
      <c r="F30" s="23"/>
      <c r="G30" s="23"/>
      <c r="H30" s="23"/>
    </row>
    <row r="31" customFormat="false" ht="15" hidden="false" customHeight="false" outlineLevel="0" collapsed="false">
      <c r="A31" s="28" t="s">
        <v>1655</v>
      </c>
      <c r="B31" s="58" t="s">
        <v>1648</v>
      </c>
      <c r="C31" s="130" t="n">
        <v>0.75</v>
      </c>
      <c r="D31" s="58" t="s">
        <v>1656</v>
      </c>
    </row>
    <row r="32" customFormat="false" ht="15" hidden="false" customHeight="false" outlineLevel="0" collapsed="false">
      <c r="A32" s="28" t="s">
        <v>1657</v>
      </c>
      <c r="B32" s="58" t="s">
        <v>1648</v>
      </c>
      <c r="C32" s="130" t="n">
        <v>0.88</v>
      </c>
    </row>
    <row r="33" customFormat="false" ht="15" hidden="false" customHeight="false" outlineLevel="0" collapsed="false">
      <c r="A33" s="28" t="s">
        <v>1658</v>
      </c>
      <c r="B33" s="58" t="s">
        <v>1621</v>
      </c>
      <c r="C33" s="119" t="n">
        <f aca="false">AVERAGE(Assumptions!$E$107:$P$107)</f>
        <v>144.833333333333</v>
      </c>
    </row>
    <row r="34" customFormat="false" ht="15" hidden="false" customHeight="false" outlineLevel="0" collapsed="false">
      <c r="A34" s="28" t="s">
        <v>1659</v>
      </c>
      <c r="B34" s="58" t="s">
        <v>1660</v>
      </c>
      <c r="C34" s="103" t="n">
        <v>125</v>
      </c>
    </row>
    <row r="35" customFormat="false" ht="15" hidden="false" customHeight="false" outlineLevel="0" collapsed="false">
      <c r="A35" s="28" t="s">
        <v>1661</v>
      </c>
      <c r="B35" s="58" t="s">
        <v>1660</v>
      </c>
      <c r="C35" s="103" t="n">
        <v>105</v>
      </c>
    </row>
    <row r="36" customFormat="false" ht="15" hidden="false" customHeight="false" outlineLevel="0" collapsed="false">
      <c r="A36" s="28" t="s">
        <v>1662</v>
      </c>
      <c r="B36" s="58" t="s">
        <v>1660</v>
      </c>
      <c r="C36" s="103" t="n">
        <v>90</v>
      </c>
    </row>
    <row r="37" customFormat="false" ht="15" hidden="false" customHeight="false" outlineLevel="0" collapsed="false">
      <c r="A37" s="28" t="s">
        <v>1663</v>
      </c>
      <c r="B37" s="58" t="s">
        <v>1660</v>
      </c>
      <c r="C37" s="103" t="n">
        <v>115</v>
      </c>
    </row>
    <row r="38" customFormat="false" ht="15" hidden="false" customHeight="false" outlineLevel="0" collapsed="false">
      <c r="A38" s="28" t="s">
        <v>1664</v>
      </c>
      <c r="B38" s="58" t="s">
        <v>1660</v>
      </c>
      <c r="C38" s="103" t="n">
        <v>100</v>
      </c>
    </row>
    <row r="39" customFormat="false" ht="15" hidden="false" customHeight="false" outlineLevel="0" collapsed="false">
      <c r="A39" s="28" t="s">
        <v>1665</v>
      </c>
      <c r="B39" s="58" t="s">
        <v>1660</v>
      </c>
      <c r="C39" s="103" t="n">
        <v>95</v>
      </c>
    </row>
    <row r="40" customFormat="false" ht="15" hidden="false" customHeight="false" outlineLevel="0" collapsed="false">
      <c r="A40" s="28" t="s">
        <v>1666</v>
      </c>
      <c r="B40" s="58" t="s">
        <v>524</v>
      </c>
      <c r="C40" s="103" t="n">
        <v>4600</v>
      </c>
      <c r="D40" s="58" t="s">
        <v>1667</v>
      </c>
    </row>
    <row r="41" customFormat="false" ht="15" hidden="false" customHeight="false" outlineLevel="0" collapsed="false">
      <c r="A41" s="28" t="s">
        <v>1668</v>
      </c>
      <c r="B41" s="58" t="s">
        <v>524</v>
      </c>
      <c r="C41" s="103" t="n">
        <v>3900</v>
      </c>
      <c r="D41" s="58" t="s">
        <v>1667</v>
      </c>
    </row>
    <row r="42" customFormat="false" ht="15" hidden="false" customHeight="false" outlineLevel="0" collapsed="false">
      <c r="A42" s="28" t="s">
        <v>1669</v>
      </c>
      <c r="B42" s="58" t="s">
        <v>524</v>
      </c>
      <c r="C42" s="103" t="n">
        <v>3200</v>
      </c>
      <c r="D42" s="58" t="s">
        <v>1667</v>
      </c>
    </row>
    <row r="43" customFormat="false" ht="15" hidden="false" customHeight="false" outlineLevel="0" collapsed="false">
      <c r="A43" s="28" t="s">
        <v>1670</v>
      </c>
      <c r="B43" s="58" t="s">
        <v>524</v>
      </c>
      <c r="C43" s="103" t="n">
        <v>4900</v>
      </c>
      <c r="D43" s="58" t="s">
        <v>1667</v>
      </c>
    </row>
    <row r="44" customFormat="false" ht="15" hidden="false" customHeight="false" outlineLevel="0" collapsed="false">
      <c r="A44" s="28" t="s">
        <v>1671</v>
      </c>
      <c r="B44" s="58" t="s">
        <v>524</v>
      </c>
      <c r="C44" s="103" t="n">
        <v>3700</v>
      </c>
      <c r="D44" s="58" t="s">
        <v>1667</v>
      </c>
    </row>
    <row r="45" customFormat="false" ht="15" hidden="false" customHeight="false" outlineLevel="0" collapsed="false">
      <c r="A45" s="28" t="s">
        <v>1672</v>
      </c>
      <c r="B45" s="58" t="s">
        <v>524</v>
      </c>
      <c r="C45" s="103" t="n">
        <v>3600</v>
      </c>
      <c r="D45" s="58" t="s">
        <v>1667</v>
      </c>
    </row>
    <row r="46" customFormat="false" ht="15" hidden="false" customHeight="false" outlineLevel="0" collapsed="false">
      <c r="A46" s="28" t="s">
        <v>1673</v>
      </c>
      <c r="B46" s="58" t="s">
        <v>1660</v>
      </c>
      <c r="C46" s="103" t="n">
        <v>85</v>
      </c>
    </row>
    <row r="47" customFormat="false" ht="15" hidden="false" customHeight="false" outlineLevel="0" collapsed="false">
      <c r="A47" s="28" t="s">
        <v>1674</v>
      </c>
      <c r="B47" s="58" t="s">
        <v>1660</v>
      </c>
      <c r="C47" s="103" t="n">
        <v>65</v>
      </c>
    </row>
    <row r="48" customFormat="false" ht="15" hidden="false" customHeight="false" outlineLevel="0" collapsed="false">
      <c r="A48" s="28" t="s">
        <v>1675</v>
      </c>
      <c r="B48" s="58" t="s">
        <v>1660</v>
      </c>
      <c r="C48" s="103" t="n">
        <v>55</v>
      </c>
    </row>
    <row r="49" customFormat="false" ht="15" hidden="false" customHeight="false" outlineLevel="0" collapsed="false">
      <c r="A49" s="28" t="s">
        <v>1676</v>
      </c>
      <c r="B49" s="58" t="s">
        <v>1660</v>
      </c>
      <c r="C49" s="103" t="n">
        <v>75</v>
      </c>
    </row>
    <row r="50" customFormat="false" ht="15" hidden="false" customHeight="false" outlineLevel="0" collapsed="false">
      <c r="A50" s="28" t="s">
        <v>1677</v>
      </c>
      <c r="B50" s="58" t="s">
        <v>1660</v>
      </c>
      <c r="C50" s="103" t="n">
        <v>65</v>
      </c>
    </row>
    <row r="51" customFormat="false" ht="15" hidden="false" customHeight="false" outlineLevel="0" collapsed="false">
      <c r="A51" s="28" t="s">
        <v>1678</v>
      </c>
      <c r="B51" s="58" t="s">
        <v>1660</v>
      </c>
      <c r="C51" s="103" t="n">
        <v>60</v>
      </c>
    </row>
    <row r="52" customFormat="false" ht="15" hidden="false" customHeight="false" outlineLevel="0" collapsed="false">
      <c r="A52" s="28" t="s">
        <v>1679</v>
      </c>
      <c r="B52" s="58" t="s">
        <v>1621</v>
      </c>
      <c r="C52" s="140" t="n">
        <f aca="false">Assumptions!$C$40*(1+Assumptions!$C$20+Assumptions!$C$21)/(Assumptions!$C$33*Assumptions!$C$31)</f>
        <v>56.6609896432681</v>
      </c>
      <c r="D52" s="58" t="s">
        <v>1680</v>
      </c>
    </row>
    <row r="53" customFormat="false" ht="15" hidden="false" customHeight="false" outlineLevel="0" collapsed="false">
      <c r="A53" s="28" t="s">
        <v>1681</v>
      </c>
      <c r="B53" s="58" t="s">
        <v>1621</v>
      </c>
      <c r="C53" s="140" t="n">
        <f aca="false">Assumptions!$C$41*(1+Assumptions!$C$20+Assumptions!$C$21)/(Assumptions!$C$33*Assumptions!$C$31)</f>
        <v>48.038665132336</v>
      </c>
      <c r="D53" s="58" t="s">
        <v>1680</v>
      </c>
    </row>
    <row r="54" customFormat="false" ht="15" hidden="false" customHeight="false" outlineLevel="0" collapsed="false">
      <c r="A54" s="28" t="s">
        <v>1682</v>
      </c>
      <c r="B54" s="58" t="s">
        <v>1621</v>
      </c>
      <c r="C54" s="140" t="n">
        <f aca="false">Assumptions!$C$42*(1+Assumptions!$C$20+Assumptions!$C$21)/(Assumptions!$C$33*Assumptions!$C$31)</f>
        <v>39.4163406214039</v>
      </c>
      <c r="D54" s="58" t="s">
        <v>1680</v>
      </c>
    </row>
    <row r="55" customFormat="false" ht="15" hidden="false" customHeight="false" outlineLevel="0" collapsed="false">
      <c r="A55" s="28" t="s">
        <v>1683</v>
      </c>
      <c r="B55" s="58" t="s">
        <v>1621</v>
      </c>
      <c r="C55" s="140" t="n">
        <f aca="false">Assumptions!$C$43*(1+Assumptions!$C$20+Assumptions!$C$21)/(Assumptions!$C$33*Assumptions!$C$31)</f>
        <v>60.3562715765248</v>
      </c>
      <c r="D55" s="58" t="s">
        <v>1680</v>
      </c>
    </row>
    <row r="56" customFormat="false" ht="15" hidden="false" customHeight="false" outlineLevel="0" collapsed="false">
      <c r="A56" s="28" t="s">
        <v>1684</v>
      </c>
      <c r="B56" s="58" t="s">
        <v>1621</v>
      </c>
      <c r="C56" s="140" t="n">
        <f aca="false">Assumptions!$C$44*(1+Assumptions!$C$20+Assumptions!$C$21)/(Assumptions!$C$33*Assumptions!$C$31)</f>
        <v>45.5751438434983</v>
      </c>
      <c r="D56" s="58" t="s">
        <v>1680</v>
      </c>
    </row>
    <row r="57" customFormat="false" ht="15" hidden="false" customHeight="false" outlineLevel="0" collapsed="false">
      <c r="A57" s="28" t="s">
        <v>1685</v>
      </c>
      <c r="B57" s="58" t="s">
        <v>1621</v>
      </c>
      <c r="C57" s="140" t="n">
        <f aca="false">Assumptions!$C$45*(1+Assumptions!$C$20+Assumptions!$C$21)/(Assumptions!$C$33*Assumptions!$C$31)</f>
        <v>44.3433831990794</v>
      </c>
      <c r="D57" s="58" t="s">
        <v>1680</v>
      </c>
    </row>
    <row r="58" customFormat="false" ht="15" hidden="false" customHeight="false" outlineLevel="0" collapsed="false">
      <c r="A58" s="28" t="s">
        <v>1686</v>
      </c>
      <c r="B58" s="58" t="s">
        <v>524</v>
      </c>
      <c r="C58" s="103" t="n">
        <v>5500</v>
      </c>
      <c r="D58" s="58" t="s">
        <v>1687</v>
      </c>
    </row>
    <row r="59" customFormat="false" ht="15" hidden="false" customHeight="false" outlineLevel="0" collapsed="false">
      <c r="A59" s="28" t="s">
        <v>1688</v>
      </c>
      <c r="B59" s="58" t="s">
        <v>1632</v>
      </c>
      <c r="C59" s="130" t="n">
        <v>0.045</v>
      </c>
      <c r="D59" s="58" t="s">
        <v>1689</v>
      </c>
    </row>
    <row r="60" customFormat="false" ht="15" hidden="false" customHeight="false" outlineLevel="0" collapsed="false">
      <c r="A60" s="28" t="s">
        <v>1690</v>
      </c>
      <c r="B60" s="58" t="s">
        <v>1632</v>
      </c>
      <c r="C60" s="130" t="n">
        <v>0.03</v>
      </c>
    </row>
    <row r="61" customFormat="false" ht="15" hidden="false" customHeight="false" outlineLevel="0" collapsed="false">
      <c r="A61" s="28" t="s">
        <v>1691</v>
      </c>
      <c r="B61" s="58" t="s">
        <v>1648</v>
      </c>
      <c r="C61" s="130" t="n">
        <v>0.05</v>
      </c>
      <c r="D61" s="58" t="s">
        <v>1692</v>
      </c>
    </row>
    <row r="62" customFormat="false" ht="15" hidden="false" customHeight="false" outlineLevel="0" collapsed="false">
      <c r="A62" s="28" t="s">
        <v>1693</v>
      </c>
      <c r="B62" s="58" t="s">
        <v>524</v>
      </c>
      <c r="C62" s="103" t="n">
        <v>4500</v>
      </c>
    </row>
    <row r="63" customFormat="false" ht="15" hidden="false" customHeight="false" outlineLevel="0" collapsed="false">
      <c r="A63" s="28" t="s">
        <v>1694</v>
      </c>
      <c r="B63" s="58" t="s">
        <v>524</v>
      </c>
      <c r="C63" s="103" t="n">
        <v>2600</v>
      </c>
    </row>
    <row r="64" customFormat="false" ht="15" hidden="false" customHeight="false" outlineLevel="0" collapsed="false">
      <c r="A64" s="28" t="s">
        <v>1695</v>
      </c>
      <c r="B64" s="58" t="s">
        <v>524</v>
      </c>
      <c r="C64" s="103" t="n">
        <v>2800</v>
      </c>
    </row>
    <row r="65" customFormat="false" ht="15" hidden="false" customHeight="false" outlineLevel="0" collapsed="false">
      <c r="A65" s="28" t="s">
        <v>1696</v>
      </c>
      <c r="B65" s="58" t="s">
        <v>524</v>
      </c>
      <c r="C65" s="103" t="n">
        <v>36000</v>
      </c>
    </row>
    <row r="66" customFormat="false" ht="15" hidden="false" customHeight="false" outlineLevel="0" collapsed="false">
      <c r="A66" s="28" t="s">
        <v>1697</v>
      </c>
      <c r="B66" s="58" t="s">
        <v>539</v>
      </c>
      <c r="C66" s="116" t="n">
        <v>46477</v>
      </c>
    </row>
    <row r="67" customFormat="false" ht="15" hidden="false" customHeight="false" outlineLevel="0" collapsed="false">
      <c r="A67" s="28" t="s">
        <v>1698</v>
      </c>
      <c r="B67" s="58" t="s">
        <v>1699</v>
      </c>
      <c r="C67" s="118" t="n">
        <v>3</v>
      </c>
    </row>
    <row r="68" customFormat="false" ht="15" hidden="false" customHeight="false" outlineLevel="0" collapsed="false">
      <c r="A68" s="28" t="s">
        <v>1700</v>
      </c>
      <c r="B68" s="58" t="s">
        <v>1699</v>
      </c>
      <c r="C68" s="118" t="n">
        <v>5</v>
      </c>
    </row>
    <row r="70" customFormat="false" ht="15" hidden="false" customHeight="false" outlineLevel="0" collapsed="false">
      <c r="A70" s="22" t="s">
        <v>1701</v>
      </c>
      <c r="B70" s="23"/>
      <c r="C70" s="23"/>
      <c r="D70" s="23"/>
      <c r="E70" s="23"/>
      <c r="F70" s="23"/>
      <c r="G70" s="23"/>
      <c r="H70" s="23"/>
    </row>
    <row r="71" customFormat="false" ht="15" hidden="false" customHeight="false" outlineLevel="0" collapsed="false">
      <c r="A71" s="28" t="s">
        <v>1702</v>
      </c>
      <c r="B71" s="58" t="s">
        <v>1648</v>
      </c>
      <c r="C71" s="130" t="n">
        <v>0.3</v>
      </c>
      <c r="D71" s="58" t="s">
        <v>1703</v>
      </c>
    </row>
    <row r="72" customFormat="false" ht="15" hidden="false" customHeight="false" outlineLevel="0" collapsed="false">
      <c r="A72" s="28" t="s">
        <v>1704</v>
      </c>
      <c r="B72" s="58" t="s">
        <v>1648</v>
      </c>
      <c r="C72" s="130" t="n">
        <v>0.4</v>
      </c>
    </row>
    <row r="73" customFormat="false" ht="15" hidden="false" customHeight="false" outlineLevel="0" collapsed="false">
      <c r="A73" s="28" t="s">
        <v>1705</v>
      </c>
      <c r="B73" s="58" t="s">
        <v>1648</v>
      </c>
      <c r="C73" s="130" t="n">
        <v>0.3</v>
      </c>
    </row>
    <row r="74" customFormat="false" ht="15" hidden="false" customHeight="false" outlineLevel="0" collapsed="false">
      <c r="A74" s="28" t="s">
        <v>1706</v>
      </c>
      <c r="B74" s="58" t="s">
        <v>1632</v>
      </c>
      <c r="C74" s="141" t="n">
        <v>0.8726</v>
      </c>
      <c r="D74" s="58" t="s">
        <v>1707</v>
      </c>
    </row>
    <row r="75" customFormat="false" ht="15" hidden="false" customHeight="false" outlineLevel="0" collapsed="false">
      <c r="A75" s="28" t="s">
        <v>1708</v>
      </c>
      <c r="B75" s="58" t="s">
        <v>1632</v>
      </c>
      <c r="C75" s="138" t="n">
        <v>1.175</v>
      </c>
      <c r="D75" s="58" t="s">
        <v>1707</v>
      </c>
    </row>
    <row r="77" customFormat="false" ht="15" hidden="false" customHeight="false" outlineLevel="0" collapsed="false">
      <c r="A77" s="22" t="s">
        <v>1709</v>
      </c>
      <c r="B77" s="23"/>
      <c r="C77" s="23"/>
      <c r="D77" s="23"/>
      <c r="E77" s="23"/>
      <c r="F77" s="23"/>
      <c r="G77" s="23"/>
      <c r="H77" s="23"/>
    </row>
    <row r="78" customFormat="false" ht="42" hidden="false" customHeight="true" outlineLevel="0" collapsed="false">
      <c r="A78" s="26" t="s">
        <v>1710</v>
      </c>
      <c r="B78" s="27" t="s">
        <v>148</v>
      </c>
      <c r="C78" s="27" t="s">
        <v>1711</v>
      </c>
      <c r="D78" s="27" t="s">
        <v>1712</v>
      </c>
      <c r="E78" s="27" t="s">
        <v>1713</v>
      </c>
      <c r="F78" s="27" t="s">
        <v>1714</v>
      </c>
      <c r="G78" s="27" t="s">
        <v>1715</v>
      </c>
      <c r="H78" s="27" t="s">
        <v>1716</v>
      </c>
    </row>
    <row r="79" customFormat="false" ht="15" hidden="false" customHeight="false" outlineLevel="0" collapsed="false">
      <c r="A79" s="28" t="s">
        <v>1022</v>
      </c>
      <c r="B79" s="142" t="n">
        <f aca="false">ROUND(SUM(C79:H79)-1,6)</f>
        <v>0</v>
      </c>
      <c r="C79" s="130" t="n">
        <v>0.18</v>
      </c>
      <c r="D79" s="130" t="n">
        <v>0.32</v>
      </c>
      <c r="E79" s="130" t="n">
        <v>0.35</v>
      </c>
      <c r="F79" s="130" t="n">
        <v>0.03</v>
      </c>
      <c r="G79" s="130" t="n">
        <v>0.02</v>
      </c>
      <c r="H79" s="130" t="n">
        <v>0.1</v>
      </c>
    </row>
    <row r="80" customFormat="false" ht="15" hidden="false" customHeight="false" outlineLevel="0" collapsed="false">
      <c r="A80" s="28" t="s">
        <v>1023</v>
      </c>
      <c r="B80" s="142" t="n">
        <f aca="false">ROUND(SUM(C80:H80)-1,6)</f>
        <v>0</v>
      </c>
      <c r="C80" s="130" t="n">
        <v>0.15</v>
      </c>
      <c r="D80" s="130" t="n">
        <v>0.12</v>
      </c>
      <c r="E80" s="130" t="n">
        <v>0.13</v>
      </c>
      <c r="F80" s="130" t="n">
        <v>0</v>
      </c>
      <c r="G80" s="130" t="n">
        <v>0.55</v>
      </c>
      <c r="H80" s="130" t="n">
        <v>0.05</v>
      </c>
    </row>
    <row r="81" customFormat="false" ht="15" hidden="false" customHeight="false" outlineLevel="0" collapsed="false">
      <c r="A81" s="28" t="s">
        <v>1024</v>
      </c>
      <c r="B81" s="142" t="n">
        <f aca="false">ROUND(SUM(C81:H81)-1,6)</f>
        <v>0</v>
      </c>
      <c r="C81" s="130" t="n">
        <v>0.1</v>
      </c>
      <c r="D81" s="130" t="n">
        <v>0.35</v>
      </c>
      <c r="E81" s="130" t="n">
        <v>0</v>
      </c>
      <c r="F81" s="130" t="n">
        <v>0.45</v>
      </c>
      <c r="G81" s="130" t="n">
        <v>0</v>
      </c>
      <c r="H81" s="130" t="n">
        <v>0.1</v>
      </c>
    </row>
    <row r="82" customFormat="false" ht="15" hidden="false" customHeight="false" outlineLevel="0" collapsed="false">
      <c r="A82" s="28" t="s">
        <v>496</v>
      </c>
      <c r="B82" s="142" t="n">
        <f aca="false">ROUND(SUM(C82:H82)-1,6)</f>
        <v>0</v>
      </c>
      <c r="C82" s="130" t="n">
        <v>0.08</v>
      </c>
      <c r="D82" s="130" t="n">
        <v>0.3</v>
      </c>
      <c r="E82" s="130" t="n">
        <v>0.05</v>
      </c>
      <c r="F82" s="130" t="n">
        <v>0.42</v>
      </c>
      <c r="G82" s="130" t="n">
        <v>0</v>
      </c>
      <c r="H82" s="130" t="n">
        <v>0.15</v>
      </c>
    </row>
    <row r="83" customFormat="false" ht="15" hidden="false" customHeight="false" outlineLevel="0" collapsed="false">
      <c r="A83" s="28" t="s">
        <v>333</v>
      </c>
      <c r="B83" s="142" t="n">
        <f aca="false">ROUND(SUM(C83:H83)-1,6)</f>
        <v>0</v>
      </c>
      <c r="C83" s="130" t="n">
        <v>0</v>
      </c>
      <c r="D83" s="130" t="n">
        <v>0.3</v>
      </c>
      <c r="E83" s="130" t="n">
        <v>0</v>
      </c>
      <c r="F83" s="130" t="n">
        <v>0.6</v>
      </c>
      <c r="G83" s="130" t="n">
        <v>0</v>
      </c>
      <c r="H83" s="130" t="n">
        <v>0.1</v>
      </c>
    </row>
    <row r="84" customFormat="false" ht="15" hidden="false" customHeight="false" outlineLevel="0" collapsed="false">
      <c r="A84" s="28" t="s">
        <v>497</v>
      </c>
      <c r="B84" s="142" t="n">
        <f aca="false">ROUND(SUM(C84:H84)-1,6)</f>
        <v>0</v>
      </c>
      <c r="C84" s="130" t="n">
        <v>0.15</v>
      </c>
      <c r="D84" s="130" t="n">
        <v>0.05</v>
      </c>
      <c r="E84" s="130" t="n">
        <v>0</v>
      </c>
      <c r="F84" s="130" t="n">
        <v>0</v>
      </c>
      <c r="G84" s="130" t="n">
        <v>0.8</v>
      </c>
      <c r="H84" s="130" t="n">
        <v>0</v>
      </c>
    </row>
    <row r="85" customFormat="false" ht="15" hidden="false" customHeight="false" outlineLevel="0" collapsed="false">
      <c r="A85" s="58" t="s">
        <v>1717</v>
      </c>
    </row>
    <row r="87" customFormat="false" ht="15" hidden="false" customHeight="false" outlineLevel="0" collapsed="false">
      <c r="A87" s="22" t="s">
        <v>1718</v>
      </c>
      <c r="B87" s="23"/>
      <c r="C87" s="23"/>
      <c r="D87" s="23"/>
      <c r="E87" s="23"/>
      <c r="F87" s="23"/>
      <c r="G87" s="23"/>
      <c r="H87" s="23"/>
    </row>
    <row r="88" customFormat="false" ht="15" hidden="false" customHeight="false" outlineLevel="0" collapsed="false">
      <c r="A88" s="28" t="s">
        <v>1719</v>
      </c>
      <c r="B88" s="58" t="s">
        <v>1720</v>
      </c>
      <c r="C88" s="118" t="n">
        <v>20</v>
      </c>
      <c r="D88" s="58" t="s">
        <v>1721</v>
      </c>
    </row>
    <row r="89" customFormat="false" ht="15" hidden="false" customHeight="false" outlineLevel="0" collapsed="false">
      <c r="A89" s="28" t="s">
        <v>1722</v>
      </c>
      <c r="B89" s="58" t="s">
        <v>1720</v>
      </c>
      <c r="C89" s="118" t="n">
        <v>30</v>
      </c>
      <c r="D89" s="58" t="s">
        <v>1723</v>
      </c>
    </row>
    <row r="90" customFormat="false" ht="15" hidden="false" customHeight="false" outlineLevel="0" collapsed="false">
      <c r="A90" s="28" t="s">
        <v>1724</v>
      </c>
      <c r="B90" s="58" t="s">
        <v>1720</v>
      </c>
      <c r="C90" s="118" t="n">
        <v>30</v>
      </c>
    </row>
    <row r="91" customFormat="false" ht="15" hidden="false" customHeight="false" outlineLevel="0" collapsed="false">
      <c r="A91" s="28" t="s">
        <v>1725</v>
      </c>
      <c r="B91" s="58" t="s">
        <v>1720</v>
      </c>
      <c r="C91" s="118" t="n">
        <v>18</v>
      </c>
    </row>
    <row r="92" customFormat="false" ht="15" hidden="false" customHeight="false" outlineLevel="0" collapsed="false">
      <c r="A92" s="28" t="s">
        <v>1726</v>
      </c>
      <c r="B92" s="58" t="s">
        <v>1632</v>
      </c>
      <c r="C92" s="139" t="n">
        <v>0.056</v>
      </c>
    </row>
    <row r="93" customFormat="false" ht="15" hidden="false" customHeight="false" outlineLevel="0" collapsed="false">
      <c r="A93" s="28" t="s">
        <v>1727</v>
      </c>
      <c r="B93" s="58" t="s">
        <v>524</v>
      </c>
      <c r="C93" s="103" t="n">
        <v>3000</v>
      </c>
      <c r="D93" s="58" t="s">
        <v>1728</v>
      </c>
    </row>
    <row r="94" customFormat="false" ht="15" hidden="false" customHeight="false" outlineLevel="0" collapsed="false">
      <c r="A94" s="28" t="s">
        <v>1729</v>
      </c>
      <c r="B94" s="58" t="s">
        <v>539</v>
      </c>
      <c r="C94" s="116" t="n">
        <v>46568</v>
      </c>
      <c r="D94" s="58" t="s">
        <v>1730</v>
      </c>
    </row>
    <row r="95" customFormat="false" ht="15" hidden="false" customHeight="false" outlineLevel="0" collapsed="false">
      <c r="A95" s="28" t="s">
        <v>1731</v>
      </c>
      <c r="B95" s="58" t="s">
        <v>672</v>
      </c>
      <c r="C95" s="103" t="n">
        <v>16500</v>
      </c>
      <c r="D95" s="58" t="s">
        <v>1732</v>
      </c>
    </row>
    <row r="97" customFormat="false" ht="15" hidden="false" customHeight="false" outlineLevel="0" collapsed="false">
      <c r="A97" s="22" t="s">
        <v>1733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row>
    <row r="98" customFormat="false" ht="15" hidden="false" customHeight="false" outlineLevel="0" collapsed="false">
      <c r="A98" s="28" t="s">
        <v>1734</v>
      </c>
      <c r="E98" s="143" t="n">
        <f aca="false">Assumptions!$C$8</f>
        <v>46053</v>
      </c>
      <c r="F98" s="143" t="n">
        <f aca="false">EOMONTH(E98,1)</f>
        <v>46081</v>
      </c>
      <c r="G98" s="143" t="n">
        <f aca="false">EOMONTH(F98,1)</f>
        <v>46112</v>
      </c>
      <c r="H98" s="143" t="n">
        <f aca="false">EOMONTH(G98,1)</f>
        <v>46142</v>
      </c>
      <c r="I98" s="143" t="n">
        <f aca="false">EOMONTH(H98,1)</f>
        <v>46173</v>
      </c>
      <c r="J98" s="143" t="n">
        <f aca="false">EOMONTH(I98,1)</f>
        <v>46203</v>
      </c>
      <c r="K98" s="143" t="n">
        <f aca="false">EOMONTH(J98,1)</f>
        <v>46234</v>
      </c>
      <c r="L98" s="143" t="n">
        <f aca="false">EOMONTH(K98,1)</f>
        <v>46265</v>
      </c>
      <c r="M98" s="143" t="n">
        <f aca="false">EOMONTH(L98,1)</f>
        <v>46295</v>
      </c>
      <c r="N98" s="143" t="n">
        <f aca="false">EOMONTH(M98,1)</f>
        <v>46326</v>
      </c>
      <c r="O98" s="143" t="n">
        <f aca="false">EOMONTH(N98,1)</f>
        <v>46356</v>
      </c>
      <c r="P98" s="143" t="n">
        <f aca="false">EOMONTH(O98,1)</f>
        <v>46387</v>
      </c>
      <c r="Q98" s="143" t="n">
        <f aca="false">EOMONTH(P98,1)</f>
        <v>46418</v>
      </c>
      <c r="R98" s="143" t="n">
        <f aca="false">EOMONTH(Q98,1)</f>
        <v>46446</v>
      </c>
      <c r="S98" s="143" t="n">
        <f aca="false">EOMONTH(R98,1)</f>
        <v>46477</v>
      </c>
      <c r="T98" s="143" t="n">
        <f aca="false">EOMONTH(S98,1)</f>
        <v>46507</v>
      </c>
      <c r="U98" s="143" t="n">
        <f aca="false">EOMONTH(T98,1)</f>
        <v>46538</v>
      </c>
      <c r="V98" s="143" t="n">
        <f aca="false">EOMONTH(U98,1)</f>
        <v>46568</v>
      </c>
      <c r="W98" s="143" t="n">
        <f aca="false">EOMONTH(V98,1)</f>
        <v>46599</v>
      </c>
      <c r="X98" s="143" t="n">
        <f aca="false">EOMONTH(W98,1)</f>
        <v>46630</v>
      </c>
      <c r="Y98" s="143" t="n">
        <f aca="false">EOMONTH(X98,1)</f>
        <v>46660</v>
      </c>
      <c r="Z98" s="143" t="n">
        <f aca="false">EOMONTH(Y98,1)</f>
        <v>46691</v>
      </c>
      <c r="AA98" s="143" t="n">
        <f aca="false">EOMONTH(Z98,1)</f>
        <v>46721</v>
      </c>
      <c r="AB98" s="143" t="n">
        <f aca="false">EOMONTH(AA98,1)</f>
        <v>46752</v>
      </c>
    </row>
    <row r="99" customFormat="false" ht="15" hidden="false" customHeight="false" outlineLevel="0" collapsed="false">
      <c r="A99" s="28" t="s">
        <v>296</v>
      </c>
      <c r="E99" s="144" t="n">
        <v>1</v>
      </c>
      <c r="F99" s="144" t="n">
        <f aca="false">E99+1</f>
        <v>2</v>
      </c>
      <c r="G99" s="144" t="n">
        <f aca="false">F99+1</f>
        <v>3</v>
      </c>
      <c r="H99" s="144" t="n">
        <f aca="false">G99+1</f>
        <v>4</v>
      </c>
      <c r="I99" s="144" t="n">
        <f aca="false">H99+1</f>
        <v>5</v>
      </c>
      <c r="J99" s="144" t="n">
        <f aca="false">I99+1</f>
        <v>6</v>
      </c>
      <c r="K99" s="144" t="n">
        <f aca="false">J99+1</f>
        <v>7</v>
      </c>
      <c r="L99" s="144" t="n">
        <f aca="false">K99+1</f>
        <v>8</v>
      </c>
      <c r="M99" s="144" t="n">
        <f aca="false">L99+1</f>
        <v>9</v>
      </c>
      <c r="N99" s="144" t="n">
        <f aca="false">M99+1</f>
        <v>10</v>
      </c>
      <c r="O99" s="144" t="n">
        <f aca="false">N99+1</f>
        <v>11</v>
      </c>
      <c r="P99" s="144" t="n">
        <f aca="false">O99+1</f>
        <v>12</v>
      </c>
      <c r="Q99" s="144" t="n">
        <f aca="false">P99+1</f>
        <v>13</v>
      </c>
      <c r="R99" s="144" t="n">
        <f aca="false">Q99+1</f>
        <v>14</v>
      </c>
      <c r="S99" s="144" t="n">
        <f aca="false">R99+1</f>
        <v>15</v>
      </c>
      <c r="T99" s="144" t="n">
        <f aca="false">S99+1</f>
        <v>16</v>
      </c>
      <c r="U99" s="144" t="n">
        <f aca="false">T99+1</f>
        <v>17</v>
      </c>
      <c r="V99" s="144" t="n">
        <f aca="false">U99+1</f>
        <v>18</v>
      </c>
      <c r="W99" s="144" t="n">
        <f aca="false">V99+1</f>
        <v>19</v>
      </c>
      <c r="X99" s="144" t="n">
        <f aca="false">W99+1</f>
        <v>20</v>
      </c>
      <c r="Y99" s="144" t="n">
        <f aca="false">X99+1</f>
        <v>21</v>
      </c>
      <c r="Z99" s="144" t="n">
        <f aca="false">Y99+1</f>
        <v>22</v>
      </c>
      <c r="AA99" s="144" t="n">
        <f aca="false">Z99+1</f>
        <v>23</v>
      </c>
      <c r="AB99" s="144" t="n">
        <f aca="false">AA99+1</f>
        <v>24</v>
      </c>
    </row>
    <row r="100" customFormat="false" ht="15" hidden="false" customHeight="false" outlineLevel="0" collapsed="false">
      <c r="A100" s="28" t="s">
        <v>293</v>
      </c>
      <c r="E100" s="145" t="str">
        <f aca="false">IF(Assumptions!E$98&lt;=Assumptions!$C$9,"A","F")</f>
        <v>A</v>
      </c>
      <c r="F100" s="145" t="str">
        <f aca="false">IF(Assumptions!F$98&lt;=Assumptions!$C$9,"A","F")</f>
        <v>A</v>
      </c>
      <c r="G100" s="145" t="str">
        <f aca="false">IF(Assumptions!G$98&lt;=Assumptions!$C$9,"A","F")</f>
        <v>A</v>
      </c>
      <c r="H100" s="145" t="str">
        <f aca="false">IF(Assumptions!H$98&lt;=Assumptions!$C$9,"A","F")</f>
        <v>A</v>
      </c>
      <c r="I100" s="145" t="str">
        <f aca="false">IF(Assumptions!I$98&lt;=Assumptions!$C$9,"A","F")</f>
        <v>A</v>
      </c>
      <c r="J100" s="145" t="str">
        <f aca="false">IF(Assumptions!J$98&lt;=Assumptions!$C$9,"A","F")</f>
        <v>A</v>
      </c>
      <c r="K100" s="145" t="str">
        <f aca="false">IF(Assumptions!K$98&lt;=Assumptions!$C$9,"A","F")</f>
        <v>A</v>
      </c>
      <c r="L100" s="145" t="str">
        <f aca="false">IF(Assumptions!L$98&lt;=Assumptions!$C$9,"A","F")</f>
        <v>A</v>
      </c>
      <c r="M100" s="145" t="str">
        <f aca="false">IF(Assumptions!M$98&lt;=Assumptions!$C$9,"A","F")</f>
        <v>F</v>
      </c>
      <c r="N100" s="145" t="str">
        <f aca="false">IF(Assumptions!N$98&lt;=Assumptions!$C$9,"A","F")</f>
        <v>F</v>
      </c>
      <c r="O100" s="145" t="str">
        <f aca="false">IF(Assumptions!O$98&lt;=Assumptions!$C$9,"A","F")</f>
        <v>F</v>
      </c>
      <c r="P100" s="145" t="str">
        <f aca="false">IF(Assumptions!P$98&lt;=Assumptions!$C$9,"A","F")</f>
        <v>F</v>
      </c>
      <c r="Q100" s="145" t="str">
        <f aca="false">IF(Assumptions!Q$98&lt;=Assumptions!$C$9,"A","F")</f>
        <v>F</v>
      </c>
      <c r="R100" s="145" t="str">
        <f aca="false">IF(Assumptions!R$98&lt;=Assumptions!$C$9,"A","F")</f>
        <v>F</v>
      </c>
      <c r="S100" s="145" t="str">
        <f aca="false">IF(Assumptions!S$98&lt;=Assumptions!$C$9,"A","F")</f>
        <v>F</v>
      </c>
      <c r="T100" s="145" t="str">
        <f aca="false">IF(Assumptions!T$98&lt;=Assumptions!$C$9,"A","F")</f>
        <v>F</v>
      </c>
      <c r="U100" s="145" t="str">
        <f aca="false">IF(Assumptions!U$98&lt;=Assumptions!$C$9,"A","F")</f>
        <v>F</v>
      </c>
      <c r="V100" s="145" t="str">
        <f aca="false">IF(Assumptions!V$98&lt;=Assumptions!$C$9,"A","F")</f>
        <v>F</v>
      </c>
      <c r="W100" s="145" t="str">
        <f aca="false">IF(Assumptions!W$98&lt;=Assumptions!$C$9,"A","F")</f>
        <v>F</v>
      </c>
      <c r="X100" s="145" t="str">
        <f aca="false">IF(Assumptions!X$98&lt;=Assumptions!$C$9,"A","F")</f>
        <v>F</v>
      </c>
      <c r="Y100" s="145" t="str">
        <f aca="false">IF(Assumptions!Y$98&lt;=Assumptions!$C$9,"A","F")</f>
        <v>F</v>
      </c>
      <c r="Z100" s="145" t="str">
        <f aca="false">IF(Assumptions!Z$98&lt;=Assumptions!$C$9,"A","F")</f>
        <v>F</v>
      </c>
      <c r="AA100" s="145" t="str">
        <f aca="false">IF(Assumptions!AA$98&lt;=Assumptions!$C$9,"A","F")</f>
        <v>F</v>
      </c>
      <c r="AB100" s="145" t="str">
        <f aca="false">IF(Assumptions!AB$98&lt;=Assumptions!$C$9,"A","F")</f>
        <v>F</v>
      </c>
    </row>
    <row r="101" customFormat="false" ht="15" hidden="false" customHeight="false" outlineLevel="0" collapsed="false">
      <c r="A101" s="28" t="s">
        <v>1735</v>
      </c>
      <c r="E101" s="144" t="n">
        <f aca="false">YEAR(Assumptions!E$98)</f>
        <v>2026</v>
      </c>
      <c r="F101" s="144" t="n">
        <f aca="false">YEAR(Assumptions!F$98)</f>
        <v>2026</v>
      </c>
      <c r="G101" s="144" t="n">
        <f aca="false">YEAR(Assumptions!G$98)</f>
        <v>2026</v>
      </c>
      <c r="H101" s="144" t="n">
        <f aca="false">YEAR(Assumptions!H$98)</f>
        <v>2026</v>
      </c>
      <c r="I101" s="144" t="n">
        <f aca="false">YEAR(Assumptions!I$98)</f>
        <v>2026</v>
      </c>
      <c r="J101" s="144" t="n">
        <f aca="false">YEAR(Assumptions!J$98)</f>
        <v>2026</v>
      </c>
      <c r="K101" s="144" t="n">
        <f aca="false">YEAR(Assumptions!K$98)</f>
        <v>2026</v>
      </c>
      <c r="L101" s="144" t="n">
        <f aca="false">YEAR(Assumptions!L$98)</f>
        <v>2026</v>
      </c>
      <c r="M101" s="144" t="n">
        <f aca="false">YEAR(Assumptions!M$98)</f>
        <v>2026</v>
      </c>
      <c r="N101" s="144" t="n">
        <f aca="false">YEAR(Assumptions!N$98)</f>
        <v>2026</v>
      </c>
      <c r="O101" s="144" t="n">
        <f aca="false">YEAR(Assumptions!O$98)</f>
        <v>2026</v>
      </c>
      <c r="P101" s="144" t="n">
        <f aca="false">YEAR(Assumptions!P$98)</f>
        <v>2026</v>
      </c>
      <c r="Q101" s="144" t="n">
        <f aca="false">YEAR(Assumptions!Q$98)</f>
        <v>2027</v>
      </c>
      <c r="R101" s="144" t="n">
        <f aca="false">YEAR(Assumptions!R$98)</f>
        <v>2027</v>
      </c>
      <c r="S101" s="144" t="n">
        <f aca="false">YEAR(Assumptions!S$98)</f>
        <v>2027</v>
      </c>
      <c r="T101" s="144" t="n">
        <f aca="false">YEAR(Assumptions!T$98)</f>
        <v>2027</v>
      </c>
      <c r="U101" s="144" t="n">
        <f aca="false">YEAR(Assumptions!U$98)</f>
        <v>2027</v>
      </c>
      <c r="V101" s="144" t="n">
        <f aca="false">YEAR(Assumptions!V$98)</f>
        <v>2027</v>
      </c>
      <c r="W101" s="144" t="n">
        <f aca="false">YEAR(Assumptions!W$98)</f>
        <v>2027</v>
      </c>
      <c r="X101" s="144" t="n">
        <f aca="false">YEAR(Assumptions!X$98)</f>
        <v>2027</v>
      </c>
      <c r="Y101" s="144" t="n">
        <f aca="false">YEAR(Assumptions!Y$98)</f>
        <v>2027</v>
      </c>
      <c r="Z101" s="144" t="n">
        <f aca="false">YEAR(Assumptions!Z$98)</f>
        <v>2027</v>
      </c>
      <c r="AA101" s="144" t="n">
        <f aca="false">YEAR(Assumptions!AA$98)</f>
        <v>2027</v>
      </c>
      <c r="AB101" s="144" t="n">
        <f aca="false">YEAR(Assumptions!AB$98)</f>
        <v>2027</v>
      </c>
    </row>
    <row r="102" customFormat="false" ht="15" hidden="false" customHeight="false" outlineLevel="0" collapsed="false">
      <c r="A102" s="28" t="s">
        <v>1736</v>
      </c>
      <c r="E102" s="144" t="n">
        <f aca="false">MONTH(Assumptions!E$98)</f>
        <v>1</v>
      </c>
      <c r="F102" s="144" t="n">
        <f aca="false">MONTH(Assumptions!F$98)</f>
        <v>2</v>
      </c>
      <c r="G102" s="144" t="n">
        <f aca="false">MONTH(Assumptions!G$98)</f>
        <v>3</v>
      </c>
      <c r="H102" s="144" t="n">
        <f aca="false">MONTH(Assumptions!H$98)</f>
        <v>4</v>
      </c>
      <c r="I102" s="144" t="n">
        <f aca="false">MONTH(Assumptions!I$98)</f>
        <v>5</v>
      </c>
      <c r="J102" s="144" t="n">
        <f aca="false">MONTH(Assumptions!J$98)</f>
        <v>6</v>
      </c>
      <c r="K102" s="144" t="n">
        <f aca="false">MONTH(Assumptions!K$98)</f>
        <v>7</v>
      </c>
      <c r="L102" s="144" t="n">
        <f aca="false">MONTH(Assumptions!L$98)</f>
        <v>8</v>
      </c>
      <c r="M102" s="144" t="n">
        <f aca="false">MONTH(Assumptions!M$98)</f>
        <v>9</v>
      </c>
      <c r="N102" s="144" t="n">
        <f aca="false">MONTH(Assumptions!N$98)</f>
        <v>10</v>
      </c>
      <c r="O102" s="144" t="n">
        <f aca="false">MONTH(Assumptions!O$98)</f>
        <v>11</v>
      </c>
      <c r="P102" s="144" t="n">
        <f aca="false">MONTH(Assumptions!P$98)</f>
        <v>12</v>
      </c>
      <c r="Q102" s="144" t="n">
        <f aca="false">MONTH(Assumptions!Q$98)</f>
        <v>1</v>
      </c>
      <c r="R102" s="144" t="n">
        <f aca="false">MONTH(Assumptions!R$98)</f>
        <v>2</v>
      </c>
      <c r="S102" s="144" t="n">
        <f aca="false">MONTH(Assumptions!S$98)</f>
        <v>3</v>
      </c>
      <c r="T102" s="144" t="n">
        <f aca="false">MONTH(Assumptions!T$98)</f>
        <v>4</v>
      </c>
      <c r="U102" s="144" t="n">
        <f aca="false">MONTH(Assumptions!U$98)</f>
        <v>5</v>
      </c>
      <c r="V102" s="144" t="n">
        <f aca="false">MONTH(Assumptions!V$98)</f>
        <v>6</v>
      </c>
      <c r="W102" s="144" t="n">
        <f aca="false">MONTH(Assumptions!W$98)</f>
        <v>7</v>
      </c>
      <c r="X102" s="144" t="n">
        <f aca="false">MONTH(Assumptions!X$98)</f>
        <v>8</v>
      </c>
      <c r="Y102" s="144" t="n">
        <f aca="false">MONTH(Assumptions!Y$98)</f>
        <v>9</v>
      </c>
      <c r="Z102" s="144" t="n">
        <f aca="false">MONTH(Assumptions!Z$98)</f>
        <v>10</v>
      </c>
      <c r="AA102" s="144" t="n">
        <f aca="false">MONTH(Assumptions!AA$98)</f>
        <v>11</v>
      </c>
      <c r="AB102" s="144" t="n">
        <f aca="false">MONTH(Assumptions!AB$98)</f>
        <v>12</v>
      </c>
    </row>
    <row r="103" customFormat="false" ht="15" hidden="false" customHeight="false" outlineLevel="0" collapsed="false">
      <c r="A103" s="28" t="s">
        <v>1737</v>
      </c>
      <c r="E103" s="144" t="n">
        <f aca="false">DAY(Assumptions!E$98)</f>
        <v>31</v>
      </c>
      <c r="F103" s="144" t="n">
        <f aca="false">DAY(Assumptions!F$98)</f>
        <v>28</v>
      </c>
      <c r="G103" s="144" t="n">
        <f aca="false">DAY(Assumptions!G$98)</f>
        <v>31</v>
      </c>
      <c r="H103" s="144" t="n">
        <f aca="false">DAY(Assumptions!H$98)</f>
        <v>30</v>
      </c>
      <c r="I103" s="144" t="n">
        <f aca="false">DAY(Assumptions!I$98)</f>
        <v>31</v>
      </c>
      <c r="J103" s="144" t="n">
        <f aca="false">DAY(Assumptions!J$98)</f>
        <v>30</v>
      </c>
      <c r="K103" s="144" t="n">
        <f aca="false">DAY(Assumptions!K$98)</f>
        <v>31</v>
      </c>
      <c r="L103" s="144" t="n">
        <f aca="false">DAY(Assumptions!L$98)</f>
        <v>31</v>
      </c>
      <c r="M103" s="144" t="n">
        <f aca="false">DAY(Assumptions!M$98)</f>
        <v>30</v>
      </c>
      <c r="N103" s="144" t="n">
        <f aca="false">DAY(Assumptions!N$98)</f>
        <v>31</v>
      </c>
      <c r="O103" s="144" t="n">
        <f aca="false">DAY(Assumptions!O$98)</f>
        <v>30</v>
      </c>
      <c r="P103" s="144" t="n">
        <f aca="false">DAY(Assumptions!P$98)</f>
        <v>31</v>
      </c>
      <c r="Q103" s="144" t="n">
        <f aca="false">DAY(Assumptions!Q$98)</f>
        <v>31</v>
      </c>
      <c r="R103" s="144" t="n">
        <f aca="false">DAY(Assumptions!R$98)</f>
        <v>28</v>
      </c>
      <c r="S103" s="144" t="n">
        <f aca="false">DAY(Assumptions!S$98)</f>
        <v>31</v>
      </c>
      <c r="T103" s="144" t="n">
        <f aca="false">DAY(Assumptions!T$98)</f>
        <v>30</v>
      </c>
      <c r="U103" s="144" t="n">
        <f aca="false">DAY(Assumptions!U$98)</f>
        <v>31</v>
      </c>
      <c r="V103" s="144" t="n">
        <f aca="false">DAY(Assumptions!V$98)</f>
        <v>30</v>
      </c>
      <c r="W103" s="144" t="n">
        <f aca="false">DAY(Assumptions!W$98)</f>
        <v>31</v>
      </c>
      <c r="X103" s="144" t="n">
        <f aca="false">DAY(Assumptions!X$98)</f>
        <v>31</v>
      </c>
      <c r="Y103" s="144" t="n">
        <f aca="false">DAY(Assumptions!Y$98)</f>
        <v>30</v>
      </c>
      <c r="Z103" s="144" t="n">
        <f aca="false">DAY(Assumptions!Z$98)</f>
        <v>31</v>
      </c>
      <c r="AA103" s="144" t="n">
        <f aca="false">DAY(Assumptions!AA$98)</f>
        <v>30</v>
      </c>
      <c r="AB103" s="144" t="n">
        <f aca="false">DAY(Assumptions!AB$98)</f>
        <v>31</v>
      </c>
    </row>
    <row r="104" customFormat="false" ht="15" hidden="false" customHeight="false" outlineLevel="0" collapsed="false">
      <c r="A104" s="28" t="s">
        <v>1738</v>
      </c>
      <c r="E104" s="144" t="n">
        <f aca="false">MAX(0,Assumptions!E$99-Assumptions!$C$10)</f>
        <v>0</v>
      </c>
      <c r="F104" s="144" t="n">
        <f aca="false">MAX(0,Assumptions!F$99-Assumptions!$C$10)</f>
        <v>0</v>
      </c>
      <c r="G104" s="144" t="n">
        <f aca="false">MAX(0,Assumptions!G$99-Assumptions!$C$10)</f>
        <v>0</v>
      </c>
      <c r="H104" s="144" t="n">
        <f aca="false">MAX(0,Assumptions!H$99-Assumptions!$C$10)</f>
        <v>0</v>
      </c>
      <c r="I104" s="144" t="n">
        <f aca="false">MAX(0,Assumptions!I$99-Assumptions!$C$10)</f>
        <v>0</v>
      </c>
      <c r="J104" s="144" t="n">
        <f aca="false">MAX(0,Assumptions!J$99-Assumptions!$C$10)</f>
        <v>0</v>
      </c>
      <c r="K104" s="144" t="n">
        <f aca="false">MAX(0,Assumptions!K$99-Assumptions!$C$10)</f>
        <v>0</v>
      </c>
      <c r="L104" s="144" t="n">
        <f aca="false">MAX(0,Assumptions!L$99-Assumptions!$C$10)</f>
        <v>0</v>
      </c>
      <c r="M104" s="144" t="n">
        <f aca="false">MAX(0,Assumptions!M$99-Assumptions!$C$10)</f>
        <v>1</v>
      </c>
      <c r="N104" s="144" t="n">
        <f aca="false">MAX(0,Assumptions!N$99-Assumptions!$C$10)</f>
        <v>2</v>
      </c>
      <c r="O104" s="144" t="n">
        <f aca="false">MAX(0,Assumptions!O$99-Assumptions!$C$10)</f>
        <v>3</v>
      </c>
      <c r="P104" s="144" t="n">
        <f aca="false">MAX(0,Assumptions!P$99-Assumptions!$C$10)</f>
        <v>4</v>
      </c>
      <c r="Q104" s="144" t="n">
        <f aca="false">MAX(0,Assumptions!Q$99-Assumptions!$C$10)</f>
        <v>5</v>
      </c>
      <c r="R104" s="144" t="n">
        <f aca="false">MAX(0,Assumptions!R$99-Assumptions!$C$10)</f>
        <v>6</v>
      </c>
      <c r="S104" s="144" t="n">
        <f aca="false">MAX(0,Assumptions!S$99-Assumptions!$C$10)</f>
        <v>7</v>
      </c>
      <c r="T104" s="144" t="n">
        <f aca="false">MAX(0,Assumptions!T$99-Assumptions!$C$10)</f>
        <v>8</v>
      </c>
      <c r="U104" s="144" t="n">
        <f aca="false">MAX(0,Assumptions!U$99-Assumptions!$C$10)</f>
        <v>9</v>
      </c>
      <c r="V104" s="144" t="n">
        <f aca="false">MAX(0,Assumptions!V$99-Assumptions!$C$10)</f>
        <v>10</v>
      </c>
      <c r="W104" s="144" t="n">
        <f aca="false">MAX(0,Assumptions!W$99-Assumptions!$C$10)</f>
        <v>11</v>
      </c>
      <c r="X104" s="144" t="n">
        <f aca="false">MAX(0,Assumptions!X$99-Assumptions!$C$10)</f>
        <v>12</v>
      </c>
      <c r="Y104" s="144" t="n">
        <f aca="false">MAX(0,Assumptions!Y$99-Assumptions!$C$10)</f>
        <v>13</v>
      </c>
      <c r="Z104" s="144" t="n">
        <f aca="false">MAX(0,Assumptions!Z$99-Assumptions!$C$10)</f>
        <v>14</v>
      </c>
      <c r="AA104" s="144" t="n">
        <f aca="false">MAX(0,Assumptions!AA$99-Assumptions!$C$10)</f>
        <v>15</v>
      </c>
      <c r="AB104" s="144" t="n">
        <f aca="false">MAX(0,Assumptions!AB$99-Assumptions!$C$10)</f>
        <v>16</v>
      </c>
    </row>
    <row r="105" customFormat="false" ht="15" hidden="false" customHeight="false" outlineLevel="0" collapsed="false">
      <c r="A105" s="28" t="s">
        <v>1739</v>
      </c>
      <c r="E105" s="146" t="n">
        <f aca="false">(1+Assumptions!$C$59)^(Assumptions!E$101-YEAR(Assumptions!$C$8))</f>
        <v>1</v>
      </c>
      <c r="F105" s="146" t="n">
        <f aca="false">(1+Assumptions!$C$59)^(Assumptions!F$101-YEAR(Assumptions!$C$8))</f>
        <v>1</v>
      </c>
      <c r="G105" s="146" t="n">
        <f aca="false">(1+Assumptions!$C$59)^(Assumptions!G$101-YEAR(Assumptions!$C$8))</f>
        <v>1</v>
      </c>
      <c r="H105" s="146" t="n">
        <f aca="false">(1+Assumptions!$C$59)^(Assumptions!H$101-YEAR(Assumptions!$C$8))</f>
        <v>1</v>
      </c>
      <c r="I105" s="146" t="n">
        <f aca="false">(1+Assumptions!$C$59)^(Assumptions!I$101-YEAR(Assumptions!$C$8))</f>
        <v>1</v>
      </c>
      <c r="J105" s="146" t="n">
        <f aca="false">(1+Assumptions!$C$59)^(Assumptions!J$101-YEAR(Assumptions!$C$8))</f>
        <v>1</v>
      </c>
      <c r="K105" s="146" t="n">
        <f aca="false">(1+Assumptions!$C$59)^(Assumptions!K$101-YEAR(Assumptions!$C$8))</f>
        <v>1</v>
      </c>
      <c r="L105" s="146" t="n">
        <f aca="false">(1+Assumptions!$C$59)^(Assumptions!L$101-YEAR(Assumptions!$C$8))</f>
        <v>1</v>
      </c>
      <c r="M105" s="146" t="n">
        <f aca="false">(1+Assumptions!$C$59)^(Assumptions!M$101-YEAR(Assumptions!$C$8))</f>
        <v>1</v>
      </c>
      <c r="N105" s="146" t="n">
        <f aca="false">(1+Assumptions!$C$59)^(Assumptions!N$101-YEAR(Assumptions!$C$8))</f>
        <v>1</v>
      </c>
      <c r="O105" s="146" t="n">
        <f aca="false">(1+Assumptions!$C$59)^(Assumptions!O$101-YEAR(Assumptions!$C$8))</f>
        <v>1</v>
      </c>
      <c r="P105" s="146" t="n">
        <f aca="false">(1+Assumptions!$C$59)^(Assumptions!P$101-YEAR(Assumptions!$C$8))</f>
        <v>1</v>
      </c>
      <c r="Q105" s="146" t="n">
        <f aca="false">(1+Assumptions!$C$59)^(Assumptions!Q$101-YEAR(Assumptions!$C$8))</f>
        <v>1.045</v>
      </c>
      <c r="R105" s="146" t="n">
        <f aca="false">(1+Assumptions!$C$59)^(Assumptions!R$101-YEAR(Assumptions!$C$8))</f>
        <v>1.045</v>
      </c>
      <c r="S105" s="146" t="n">
        <f aca="false">(1+Assumptions!$C$59)^(Assumptions!S$101-YEAR(Assumptions!$C$8))</f>
        <v>1.045</v>
      </c>
      <c r="T105" s="146" t="n">
        <f aca="false">(1+Assumptions!$C$59)^(Assumptions!T$101-YEAR(Assumptions!$C$8))</f>
        <v>1.045</v>
      </c>
      <c r="U105" s="146" t="n">
        <f aca="false">(1+Assumptions!$C$59)^(Assumptions!U$101-YEAR(Assumptions!$C$8))</f>
        <v>1.045</v>
      </c>
      <c r="V105" s="146" t="n">
        <f aca="false">(1+Assumptions!$C$59)^(Assumptions!V$101-YEAR(Assumptions!$C$8))</f>
        <v>1.045</v>
      </c>
      <c r="W105" s="146" t="n">
        <f aca="false">(1+Assumptions!$C$59)^(Assumptions!W$101-YEAR(Assumptions!$C$8))</f>
        <v>1.045</v>
      </c>
      <c r="X105" s="146" t="n">
        <f aca="false">(1+Assumptions!$C$59)^(Assumptions!X$101-YEAR(Assumptions!$C$8))</f>
        <v>1.045</v>
      </c>
      <c r="Y105" s="146" t="n">
        <f aca="false">(1+Assumptions!$C$59)^(Assumptions!Y$101-YEAR(Assumptions!$C$8))</f>
        <v>1.045</v>
      </c>
      <c r="Z105" s="146" t="n">
        <f aca="false">(1+Assumptions!$C$59)^(Assumptions!Z$101-YEAR(Assumptions!$C$8))</f>
        <v>1.045</v>
      </c>
      <c r="AA105" s="146" t="n">
        <f aca="false">(1+Assumptions!$C$59)^(Assumptions!AA$101-YEAR(Assumptions!$C$8))</f>
        <v>1.045</v>
      </c>
      <c r="AB105" s="146" t="n">
        <f aca="false">(1+Assumptions!$C$59)^(Assumptions!AB$101-YEAR(Assumptions!$C$8))</f>
        <v>1.045</v>
      </c>
    </row>
    <row r="106" customFormat="false" ht="15" hidden="false" customHeight="false" outlineLevel="0" collapsed="false">
      <c r="A106" s="28" t="s">
        <v>1740</v>
      </c>
      <c r="E106" s="146" t="n">
        <f aca="false">(1+Assumptions!$C$60)^(Assumptions!E$101-YEAR(Assumptions!$C$8))</f>
        <v>1</v>
      </c>
      <c r="F106" s="146" t="n">
        <f aca="false">(1+Assumptions!$C$60)^(Assumptions!F$101-YEAR(Assumptions!$C$8))</f>
        <v>1</v>
      </c>
      <c r="G106" s="146" t="n">
        <f aca="false">(1+Assumptions!$C$60)^(Assumptions!G$101-YEAR(Assumptions!$C$8))</f>
        <v>1</v>
      </c>
      <c r="H106" s="146" t="n">
        <f aca="false">(1+Assumptions!$C$60)^(Assumptions!H$101-YEAR(Assumptions!$C$8))</f>
        <v>1</v>
      </c>
      <c r="I106" s="146" t="n">
        <f aca="false">(1+Assumptions!$C$60)^(Assumptions!I$101-YEAR(Assumptions!$C$8))</f>
        <v>1</v>
      </c>
      <c r="J106" s="146" t="n">
        <f aca="false">(1+Assumptions!$C$60)^(Assumptions!J$101-YEAR(Assumptions!$C$8))</f>
        <v>1</v>
      </c>
      <c r="K106" s="146" t="n">
        <f aca="false">(1+Assumptions!$C$60)^(Assumptions!K$101-YEAR(Assumptions!$C$8))</f>
        <v>1</v>
      </c>
      <c r="L106" s="146" t="n">
        <f aca="false">(1+Assumptions!$C$60)^(Assumptions!L$101-YEAR(Assumptions!$C$8))</f>
        <v>1</v>
      </c>
      <c r="M106" s="146" t="n">
        <f aca="false">(1+Assumptions!$C$60)^(Assumptions!M$101-YEAR(Assumptions!$C$8))</f>
        <v>1</v>
      </c>
      <c r="N106" s="146" t="n">
        <f aca="false">(1+Assumptions!$C$60)^(Assumptions!N$101-YEAR(Assumptions!$C$8))</f>
        <v>1</v>
      </c>
      <c r="O106" s="146" t="n">
        <f aca="false">(1+Assumptions!$C$60)^(Assumptions!O$101-YEAR(Assumptions!$C$8))</f>
        <v>1</v>
      </c>
      <c r="P106" s="146" t="n">
        <f aca="false">(1+Assumptions!$C$60)^(Assumptions!P$101-YEAR(Assumptions!$C$8))</f>
        <v>1</v>
      </c>
      <c r="Q106" s="146" t="n">
        <f aca="false">(1+Assumptions!$C$60)^(Assumptions!Q$101-YEAR(Assumptions!$C$8))</f>
        <v>1.03</v>
      </c>
      <c r="R106" s="146" t="n">
        <f aca="false">(1+Assumptions!$C$60)^(Assumptions!R$101-YEAR(Assumptions!$C$8))</f>
        <v>1.03</v>
      </c>
      <c r="S106" s="146" t="n">
        <f aca="false">(1+Assumptions!$C$60)^(Assumptions!S$101-YEAR(Assumptions!$C$8))</f>
        <v>1.03</v>
      </c>
      <c r="T106" s="146" t="n">
        <f aca="false">(1+Assumptions!$C$60)^(Assumptions!T$101-YEAR(Assumptions!$C$8))</f>
        <v>1.03</v>
      </c>
      <c r="U106" s="146" t="n">
        <f aca="false">(1+Assumptions!$C$60)^(Assumptions!U$101-YEAR(Assumptions!$C$8))</f>
        <v>1.03</v>
      </c>
      <c r="V106" s="146" t="n">
        <f aca="false">(1+Assumptions!$C$60)^(Assumptions!V$101-YEAR(Assumptions!$C$8))</f>
        <v>1.03</v>
      </c>
      <c r="W106" s="146" t="n">
        <f aca="false">(1+Assumptions!$C$60)^(Assumptions!W$101-YEAR(Assumptions!$C$8))</f>
        <v>1.03</v>
      </c>
      <c r="X106" s="146" t="n">
        <f aca="false">(1+Assumptions!$C$60)^(Assumptions!X$101-YEAR(Assumptions!$C$8))</f>
        <v>1.03</v>
      </c>
      <c r="Y106" s="146" t="n">
        <f aca="false">(1+Assumptions!$C$60)^(Assumptions!Y$101-YEAR(Assumptions!$C$8))</f>
        <v>1.03</v>
      </c>
      <c r="Z106" s="146" t="n">
        <f aca="false">(1+Assumptions!$C$60)^(Assumptions!Z$101-YEAR(Assumptions!$C$8))</f>
        <v>1.03</v>
      </c>
      <c r="AA106" s="146" t="n">
        <f aca="false">(1+Assumptions!$C$60)^(Assumptions!AA$101-YEAR(Assumptions!$C$8))</f>
        <v>1.03</v>
      </c>
      <c r="AB106" s="146" t="n">
        <f aca="false">(1+Assumptions!$C$60)^(Assumptions!AB$101-YEAR(Assumptions!$C$8))</f>
        <v>1.03</v>
      </c>
    </row>
    <row r="107" customFormat="false" ht="15" hidden="false" customHeight="false" outlineLevel="0" collapsed="false">
      <c r="A107" s="28" t="s">
        <v>1741</v>
      </c>
      <c r="E107" s="147" t="n">
        <v>152</v>
      </c>
      <c r="F107" s="147" t="n">
        <v>146</v>
      </c>
      <c r="G107" s="147" t="n">
        <v>158</v>
      </c>
      <c r="H107" s="147" t="n">
        <v>150</v>
      </c>
      <c r="I107" s="147" t="n">
        <v>150</v>
      </c>
      <c r="J107" s="147" t="n">
        <v>138</v>
      </c>
      <c r="K107" s="147" t="n">
        <v>112</v>
      </c>
      <c r="L107" s="147" t="n">
        <v>136</v>
      </c>
      <c r="M107" s="147" t="n">
        <v>158</v>
      </c>
      <c r="N107" s="147" t="n">
        <v>164</v>
      </c>
      <c r="O107" s="147" t="n">
        <v>152</v>
      </c>
      <c r="P107" s="147" t="n">
        <v>122</v>
      </c>
      <c r="Q107" s="144" t="n">
        <f aca="false">E107</f>
        <v>152</v>
      </c>
      <c r="R107" s="144" t="n">
        <f aca="false">F107</f>
        <v>146</v>
      </c>
      <c r="S107" s="144" t="n">
        <f aca="false">G107</f>
        <v>158</v>
      </c>
      <c r="T107" s="144" t="n">
        <f aca="false">H107</f>
        <v>150</v>
      </c>
      <c r="U107" s="144" t="n">
        <f aca="false">I107</f>
        <v>150</v>
      </c>
      <c r="V107" s="144" t="n">
        <f aca="false">J107</f>
        <v>138</v>
      </c>
      <c r="W107" s="144" t="n">
        <f aca="false">K107</f>
        <v>112</v>
      </c>
      <c r="X107" s="144" t="n">
        <f aca="false">L107</f>
        <v>136</v>
      </c>
      <c r="Y107" s="144" t="n">
        <f aca="false">M107</f>
        <v>158</v>
      </c>
      <c r="Z107" s="144" t="n">
        <f aca="false">N107</f>
        <v>164</v>
      </c>
      <c r="AA107" s="144" t="n">
        <f aca="false">O107</f>
        <v>152</v>
      </c>
      <c r="AB107" s="144" t="n">
        <f aca="false">P107</f>
        <v>122</v>
      </c>
    </row>
    <row r="108" customFormat="false" ht="15" hidden="false" customHeight="false" outlineLevel="0" collapsed="false">
      <c r="A108" s="28" t="s">
        <v>1742</v>
      </c>
      <c r="E108" s="146" t="n">
        <f aca="false">Assumptions!E$107/Assumptions!$C$33</f>
        <v>1.04948216340621</v>
      </c>
      <c r="F108" s="146" t="n">
        <f aca="false">Assumptions!F$107/Assumptions!$C$33</f>
        <v>1.00805523590334</v>
      </c>
      <c r="G108" s="146" t="n">
        <f aca="false">Assumptions!G$107/Assumptions!$C$33</f>
        <v>1.09090909090909</v>
      </c>
      <c r="H108" s="146" t="n">
        <f aca="false">Assumptions!H$107/Assumptions!$C$33</f>
        <v>1.03567318757192</v>
      </c>
      <c r="I108" s="146" t="n">
        <f aca="false">Assumptions!I$107/Assumptions!$C$33</f>
        <v>1.03567318757192</v>
      </c>
      <c r="J108" s="146" t="n">
        <f aca="false">Assumptions!J$107/Assumptions!$C$33</f>
        <v>0.952819332566168</v>
      </c>
      <c r="K108" s="146" t="n">
        <f aca="false">Assumptions!K$107/Assumptions!$C$33</f>
        <v>0.773302646720368</v>
      </c>
      <c r="L108" s="146" t="n">
        <f aca="false">Assumptions!L$107/Assumptions!$C$33</f>
        <v>0.939010356731876</v>
      </c>
      <c r="M108" s="146" t="n">
        <f aca="false">Assumptions!M$107/Assumptions!$C$33</f>
        <v>1.09090909090909</v>
      </c>
      <c r="N108" s="146" t="n">
        <f aca="false">Assumptions!N$107/Assumptions!$C$33</f>
        <v>1.13233601841197</v>
      </c>
      <c r="O108" s="146" t="n">
        <f aca="false">Assumptions!O$107/Assumptions!$C$33</f>
        <v>1.04948216340621</v>
      </c>
      <c r="P108" s="146" t="n">
        <f aca="false">Assumptions!P$107/Assumptions!$C$33</f>
        <v>0.84234752589183</v>
      </c>
      <c r="Q108" s="146" t="n">
        <f aca="false">Assumptions!Q$107/Assumptions!$C$33</f>
        <v>1.04948216340621</v>
      </c>
      <c r="R108" s="146" t="n">
        <f aca="false">Assumptions!R$107/Assumptions!$C$33</f>
        <v>1.00805523590334</v>
      </c>
      <c r="S108" s="146" t="n">
        <f aca="false">Assumptions!S$107/Assumptions!$C$33</f>
        <v>1.09090909090909</v>
      </c>
      <c r="T108" s="146" t="n">
        <f aca="false">Assumptions!T$107/Assumptions!$C$33</f>
        <v>1.03567318757192</v>
      </c>
      <c r="U108" s="146" t="n">
        <f aca="false">Assumptions!U$107/Assumptions!$C$33</f>
        <v>1.03567318757192</v>
      </c>
      <c r="V108" s="146" t="n">
        <f aca="false">Assumptions!V$107/Assumptions!$C$33</f>
        <v>0.952819332566168</v>
      </c>
      <c r="W108" s="146" t="n">
        <f aca="false">Assumptions!W$107/Assumptions!$C$33</f>
        <v>0.773302646720368</v>
      </c>
      <c r="X108" s="146" t="n">
        <f aca="false">Assumptions!X$107/Assumptions!$C$33</f>
        <v>0.939010356731876</v>
      </c>
      <c r="Y108" s="146" t="n">
        <f aca="false">Assumptions!Y$107/Assumptions!$C$33</f>
        <v>1.09090909090909</v>
      </c>
      <c r="Z108" s="146" t="n">
        <f aca="false">Assumptions!Z$107/Assumptions!$C$33</f>
        <v>1.13233601841197</v>
      </c>
      <c r="AA108" s="146" t="n">
        <f aca="false">Assumptions!AA$107/Assumptions!$C$33</f>
        <v>1.04948216340621</v>
      </c>
      <c r="AB108" s="146" t="n">
        <f aca="false">Assumptions!AB$107/Assumptions!$C$33</f>
        <v>0.84234752589183</v>
      </c>
    </row>
    <row r="109" customFormat="false" ht="15" hidden="false" customHeight="false" outlineLevel="0" collapsed="false">
      <c r="A109" s="28" t="s">
        <v>1743</v>
      </c>
      <c r="E109" s="148" t="n">
        <v>0.85</v>
      </c>
      <c r="F109" s="148" t="n">
        <v>0.85</v>
      </c>
      <c r="G109" s="148" t="n">
        <v>0.95</v>
      </c>
      <c r="H109" s="148" t="n">
        <v>1</v>
      </c>
      <c r="I109" s="148" t="n">
        <v>1</v>
      </c>
      <c r="J109" s="148" t="n">
        <v>0.95</v>
      </c>
      <c r="K109" s="148" t="n">
        <v>0.85</v>
      </c>
      <c r="L109" s="148" t="n">
        <v>0.9</v>
      </c>
      <c r="M109" s="148" t="n">
        <v>1</v>
      </c>
      <c r="N109" s="148" t="n">
        <v>1.1</v>
      </c>
      <c r="O109" s="148" t="n">
        <v>1.35</v>
      </c>
      <c r="P109" s="148" t="n">
        <v>1.2</v>
      </c>
      <c r="Q109" s="149" t="n">
        <f aca="false">E109</f>
        <v>0.85</v>
      </c>
      <c r="R109" s="149" t="n">
        <f aca="false">F109</f>
        <v>0.85</v>
      </c>
      <c r="S109" s="149" t="n">
        <f aca="false">G109</f>
        <v>0.95</v>
      </c>
      <c r="T109" s="149" t="n">
        <f aca="false">H109</f>
        <v>1</v>
      </c>
      <c r="U109" s="149" t="n">
        <f aca="false">I109</f>
        <v>1</v>
      </c>
      <c r="V109" s="149" t="n">
        <f aca="false">J109</f>
        <v>0.95</v>
      </c>
      <c r="W109" s="149" t="n">
        <f aca="false">K109</f>
        <v>0.85</v>
      </c>
      <c r="X109" s="149" t="n">
        <f aca="false">L109</f>
        <v>0.9</v>
      </c>
      <c r="Y109" s="149" t="n">
        <f aca="false">M109</f>
        <v>1</v>
      </c>
      <c r="Z109" s="149" t="n">
        <f aca="false">N109</f>
        <v>1.1</v>
      </c>
      <c r="AA109" s="149" t="n">
        <f aca="false">O109</f>
        <v>1.35</v>
      </c>
      <c r="AB109" s="149" t="n">
        <f aca="false">P109</f>
        <v>1.2</v>
      </c>
    </row>
    <row r="110" customFormat="false" ht="15" hidden="false" customHeight="false" outlineLevel="0" collapsed="false">
      <c r="A110" s="28" t="s">
        <v>1744</v>
      </c>
      <c r="E110" s="144" t="n">
        <f aca="false">IF(Assumptions!E$102=3,1,0)</f>
        <v>0</v>
      </c>
      <c r="F110" s="144" t="n">
        <f aca="false">IF(Assumptions!F$102=3,1,0)</f>
        <v>0</v>
      </c>
      <c r="G110" s="144" t="n">
        <f aca="false">IF(Assumptions!G$102=3,1,0)</f>
        <v>1</v>
      </c>
      <c r="H110" s="144" t="n">
        <f aca="false">IF(Assumptions!H$102=3,1,0)</f>
        <v>0</v>
      </c>
      <c r="I110" s="144" t="n">
        <f aca="false">IF(Assumptions!I$102=3,1,0)</f>
        <v>0</v>
      </c>
      <c r="J110" s="144" t="n">
        <f aca="false">IF(Assumptions!J$102=3,1,0)</f>
        <v>0</v>
      </c>
      <c r="K110" s="144" t="n">
        <f aca="false">IF(Assumptions!K$102=3,1,0)</f>
        <v>0</v>
      </c>
      <c r="L110" s="144" t="n">
        <f aca="false">IF(Assumptions!L$102=3,1,0)</f>
        <v>0</v>
      </c>
      <c r="M110" s="144" t="n">
        <f aca="false">IF(Assumptions!M$102=3,1,0)</f>
        <v>0</v>
      </c>
      <c r="N110" s="144" t="n">
        <f aca="false">IF(Assumptions!N$102=3,1,0)</f>
        <v>0</v>
      </c>
      <c r="O110" s="144" t="n">
        <f aca="false">IF(Assumptions!O$102=3,1,0)</f>
        <v>0</v>
      </c>
      <c r="P110" s="144" t="n">
        <f aca="false">IF(Assumptions!P$102=3,1,0)</f>
        <v>0</v>
      </c>
      <c r="Q110" s="144" t="n">
        <f aca="false">IF(Assumptions!Q$102=3,1,0)</f>
        <v>0</v>
      </c>
      <c r="R110" s="144" t="n">
        <f aca="false">IF(Assumptions!R$102=3,1,0)</f>
        <v>0</v>
      </c>
      <c r="S110" s="144" t="n">
        <f aca="false">IF(Assumptions!S$102=3,1,0)</f>
        <v>1</v>
      </c>
      <c r="T110" s="144" t="n">
        <f aca="false">IF(Assumptions!T$102=3,1,0)</f>
        <v>0</v>
      </c>
      <c r="U110" s="144" t="n">
        <f aca="false">IF(Assumptions!U$102=3,1,0)</f>
        <v>0</v>
      </c>
      <c r="V110" s="144" t="n">
        <f aca="false">IF(Assumptions!V$102=3,1,0)</f>
        <v>0</v>
      </c>
      <c r="W110" s="144" t="n">
        <f aca="false">IF(Assumptions!W$102=3,1,0)</f>
        <v>0</v>
      </c>
      <c r="X110" s="144" t="n">
        <f aca="false">IF(Assumptions!X$102=3,1,0)</f>
        <v>0</v>
      </c>
      <c r="Y110" s="144" t="n">
        <f aca="false">IF(Assumptions!Y$102=3,1,0)</f>
        <v>0</v>
      </c>
      <c r="Z110" s="144" t="n">
        <f aca="false">IF(Assumptions!Z$102=3,1,0)</f>
        <v>0</v>
      </c>
      <c r="AA110" s="144" t="n">
        <f aca="false">IF(Assumptions!AA$102=3,1,0)</f>
        <v>0</v>
      </c>
      <c r="AB110" s="144" t="n">
        <f aca="false">IF(Assumptions!AB$102=3,1,0)</f>
        <v>0</v>
      </c>
    </row>
    <row r="112" customFormat="false" ht="15" hidden="false" customHeight="false" outlineLevel="0" collapsed="false">
      <c r="A112" s="22" t="s">
        <v>1745</v>
      </c>
      <c r="B112" s="23"/>
      <c r="C112" s="23"/>
      <c r="D112" s="23"/>
      <c r="E112" s="23"/>
      <c r="F112" s="23"/>
      <c r="G112" s="23"/>
      <c r="H112" s="23"/>
    </row>
    <row r="113" customFormat="false" ht="15" hidden="false" customHeight="false" outlineLevel="0" collapsed="false">
      <c r="A113" s="26" t="s">
        <v>1746</v>
      </c>
      <c r="B113" s="27" t="s">
        <v>517</v>
      </c>
      <c r="C113" s="27" t="s">
        <v>518</v>
      </c>
      <c r="D113" s="27" t="s">
        <v>519</v>
      </c>
      <c r="E113" s="27" t="s">
        <v>520</v>
      </c>
      <c r="F113" s="27" t="s">
        <v>1747</v>
      </c>
      <c r="G113" s="27" t="s">
        <v>465</v>
      </c>
      <c r="H113" s="27" t="s">
        <v>1748</v>
      </c>
    </row>
    <row r="114" customFormat="false" ht="15" hidden="false" customHeight="false" outlineLevel="0" collapsed="false">
      <c r="A114" s="28" t="s">
        <v>1749</v>
      </c>
      <c r="B114" s="58"/>
      <c r="C114" s="130" t="n">
        <v>0.04</v>
      </c>
      <c r="D114" s="130" t="n">
        <v>0</v>
      </c>
      <c r="E114" s="130" t="n">
        <v>0.06</v>
      </c>
      <c r="F114" s="61" t="n">
        <f aca="false">CHOOSE(Assumptions!$C$11,C114,D114,E114)</f>
        <v>0.04</v>
      </c>
      <c r="H114" s="58" t="s">
        <v>1750</v>
      </c>
    </row>
    <row r="115" customFormat="false" ht="15" hidden="false" customHeight="false" outlineLevel="0" collapsed="false">
      <c r="A115" s="28" t="s">
        <v>1751</v>
      </c>
      <c r="B115" s="58" t="s">
        <v>1752</v>
      </c>
      <c r="C115" s="150" t="n">
        <v>0.7</v>
      </c>
      <c r="D115" s="150" t="n">
        <v>1</v>
      </c>
      <c r="E115" s="150" t="n">
        <v>0.5</v>
      </c>
      <c r="F115" s="110" t="n">
        <f aca="false">CHOOSE(Assumptions!$C$11,C115,D115,E115)</f>
        <v>0.7</v>
      </c>
      <c r="H115" s="58" t="s">
        <v>1753</v>
      </c>
    </row>
    <row r="116" customFormat="false" ht="15" hidden="false" customHeight="false" outlineLevel="0" collapsed="false">
      <c r="A116" s="28" t="s">
        <v>1754</v>
      </c>
      <c r="B116" s="58"/>
      <c r="C116" s="130" t="n">
        <v>0.1</v>
      </c>
      <c r="D116" s="130" t="n">
        <v>0.2</v>
      </c>
      <c r="E116" s="130" t="n">
        <v>0.08</v>
      </c>
      <c r="F116" s="61" t="n">
        <f aca="false">CHOOSE(Assumptions!$C$11,C116,D116,E116)</f>
        <v>0.1</v>
      </c>
      <c r="G116" s="63" t="n">
        <f aca="false">SUMIFS(Retainers!$E$173:$AB$173,Assumptions!$E$100:$AB$100,"A")/SUMIFS(Retainers!$E$171:$AB$171,Assumptions!$E$100:$AB$100,"A")</f>
        <v>0.128648090815274</v>
      </c>
    </row>
    <row r="117" customFormat="false" ht="15" hidden="false" customHeight="false" outlineLevel="0" collapsed="false">
      <c r="A117" s="28" t="s">
        <v>1755</v>
      </c>
      <c r="B117" s="58" t="s">
        <v>1756</v>
      </c>
      <c r="C117" s="118" t="n">
        <v>0</v>
      </c>
      <c r="D117" s="118" t="n">
        <v>2</v>
      </c>
      <c r="E117" s="118" t="n">
        <v>0</v>
      </c>
      <c r="F117" s="151" t="n">
        <f aca="false">CHOOSE(Assumptions!$C$11,C117,D117,E117)</f>
        <v>0</v>
      </c>
    </row>
    <row r="118" customFormat="false" ht="15" hidden="false" customHeight="false" outlineLevel="0" collapsed="false">
      <c r="A118" s="28" t="s">
        <v>1757</v>
      </c>
      <c r="B118" s="58"/>
      <c r="C118" s="130" t="n">
        <v>0</v>
      </c>
      <c r="D118" s="130" t="n">
        <v>0.15</v>
      </c>
      <c r="E118" s="130" t="n">
        <v>-0.05</v>
      </c>
      <c r="F118" s="61" t="n">
        <f aca="false">CHOOSE(Assumptions!$C$11,C118,D118,E118)</f>
        <v>0</v>
      </c>
      <c r="H118" s="58" t="s">
        <v>1758</v>
      </c>
    </row>
    <row r="119" customFormat="false" ht="15" hidden="false" customHeight="false" outlineLevel="0" collapsed="false">
      <c r="A119" s="28" t="s">
        <v>1759</v>
      </c>
      <c r="B119" s="58" t="s">
        <v>1752</v>
      </c>
      <c r="C119" s="150" t="n">
        <v>1</v>
      </c>
      <c r="D119" s="150" t="n">
        <v>0.9</v>
      </c>
      <c r="E119" s="150" t="n">
        <v>1.1</v>
      </c>
      <c r="F119" s="110" t="n">
        <f aca="false">CHOOSE(Assumptions!$C$11,C119,D119,E119)</f>
        <v>1</v>
      </c>
    </row>
    <row r="120" customFormat="false" ht="15" hidden="false" customHeight="false" outlineLevel="0" collapsed="false">
      <c r="A120" s="28" t="s">
        <v>1760</v>
      </c>
      <c r="B120" s="58"/>
      <c r="C120" s="130" t="n">
        <v>0</v>
      </c>
      <c r="D120" s="130" t="n">
        <v>0.04</v>
      </c>
      <c r="E120" s="130" t="n">
        <v>-0.02</v>
      </c>
      <c r="F120" s="61" t="n">
        <f aca="false">CHOOSE(Assumptions!$C$11,C120,D120,E120)</f>
        <v>0</v>
      </c>
    </row>
    <row r="121" customFormat="false" ht="15" hidden="false" customHeight="false" outlineLevel="0" collapsed="false">
      <c r="A121" s="28" t="s">
        <v>1761</v>
      </c>
      <c r="B121" s="58" t="s">
        <v>1752</v>
      </c>
      <c r="C121" s="150" t="n">
        <v>1</v>
      </c>
      <c r="D121" s="150" t="n">
        <v>0.9</v>
      </c>
      <c r="E121" s="150" t="n">
        <v>1.1</v>
      </c>
      <c r="F121" s="110" t="n">
        <f aca="false">CHOOSE(Assumptions!$C$11,C121,D121,E121)</f>
        <v>1</v>
      </c>
    </row>
    <row r="122" customFormat="false" ht="15" hidden="false" customHeight="false" outlineLevel="0" collapsed="false">
      <c r="A122" s="28" t="s">
        <v>1762</v>
      </c>
      <c r="B122" s="58"/>
      <c r="C122" s="130" t="n">
        <v>0.04</v>
      </c>
      <c r="D122" s="130" t="n">
        <v>0</v>
      </c>
      <c r="E122" s="130" t="n">
        <v>0.06</v>
      </c>
      <c r="F122" s="61" t="n">
        <f aca="false">CHOOSE(Assumptions!$C$11,C122,D122,E122)</f>
        <v>0.04</v>
      </c>
    </row>
    <row r="123" customFormat="false" ht="15" hidden="false" customHeight="false" outlineLevel="0" collapsed="false">
      <c r="A123" s="28" t="s">
        <v>1763</v>
      </c>
      <c r="B123" s="58"/>
      <c r="C123" s="130" t="n">
        <v>0</v>
      </c>
      <c r="D123" s="130" t="n">
        <v>0.04</v>
      </c>
      <c r="E123" s="130" t="n">
        <v>-0.03</v>
      </c>
      <c r="F123" s="61" t="n">
        <f aca="false">CHOOSE(Assumptions!$C$11,C123,D123,E123)</f>
        <v>0</v>
      </c>
      <c r="H123" s="58" t="s">
        <v>1764</v>
      </c>
    </row>
    <row r="124" customFormat="false" ht="15" hidden="false" customHeight="false" outlineLevel="0" collapsed="false">
      <c r="A124" s="28" t="s">
        <v>1765</v>
      </c>
      <c r="B124" s="58" t="s">
        <v>1720</v>
      </c>
      <c r="C124" s="118" t="n">
        <v>0</v>
      </c>
      <c r="D124" s="118" t="n">
        <v>15</v>
      </c>
      <c r="E124" s="118" t="n">
        <v>0</v>
      </c>
      <c r="F124" s="151" t="n">
        <f aca="false">CHOOSE(Assumptions!$C$11,C124,D124,E124)</f>
        <v>0</v>
      </c>
      <c r="G124" s="67" t="n">
        <f aca="false">INDEX(Receivables!$E$21:$AB$21,Assumptions!$C$10)</f>
        <v>32.4521567506265</v>
      </c>
    </row>
    <row r="125" customFormat="false" ht="15" hidden="false" customHeight="false" outlineLevel="0" collapsed="false">
      <c r="A125" s="28" t="s">
        <v>1766</v>
      </c>
      <c r="B125" s="58" t="s">
        <v>1767</v>
      </c>
      <c r="C125" s="118" t="n">
        <v>1</v>
      </c>
      <c r="D125" s="118" t="n">
        <v>0</v>
      </c>
      <c r="E125" s="118" t="n">
        <v>1</v>
      </c>
      <c r="F125" s="151" t="n">
        <f aca="false">CHOOSE(Assumptions!$C$11,C125,D125,E125)</f>
        <v>1</v>
      </c>
    </row>
    <row r="126" customFormat="false" ht="15" hidden="false" customHeight="false" outlineLevel="0" collapsed="false">
      <c r="A126" s="28" t="s">
        <v>1768</v>
      </c>
      <c r="B126" s="58" t="s">
        <v>1767</v>
      </c>
      <c r="C126" s="118" t="n">
        <v>1</v>
      </c>
      <c r="D126" s="118" t="n">
        <v>0</v>
      </c>
      <c r="E126" s="118" t="n">
        <v>1</v>
      </c>
      <c r="F126" s="151" t="n">
        <f aca="false">CHOOSE(Assumptions!$C$11,C126,D126,E126)</f>
        <v>1</v>
      </c>
    </row>
    <row r="127" customFormat="false" ht="15" hidden="false" customHeight="false" outlineLevel="0" collapsed="false">
      <c r="A127" s="28" t="s">
        <v>1769</v>
      </c>
      <c r="B127" s="58"/>
      <c r="C127" s="130" t="n">
        <v>0.05</v>
      </c>
      <c r="D127" s="130" t="n">
        <v>0</v>
      </c>
      <c r="E127" s="130" t="n">
        <v>0.06</v>
      </c>
      <c r="F127" s="61" t="n">
        <f aca="false">CHOOSE(Assumptions!$C$11,C127,D127,E127)</f>
        <v>0.05</v>
      </c>
      <c r="G127" s="63" t="n">
        <f aca="false">Assumptions!$C$61</f>
        <v>0.05</v>
      </c>
    </row>
    <row r="128" customFormat="false" ht="15" hidden="false" customHeight="false" outlineLevel="0" collapsed="false">
      <c r="A128" s="28" t="s">
        <v>1770</v>
      </c>
      <c r="B128" s="58" t="s">
        <v>1771</v>
      </c>
      <c r="C128" s="133" t="n">
        <v>0</v>
      </c>
      <c r="D128" s="133" t="n">
        <v>4</v>
      </c>
      <c r="E128" s="133" t="n">
        <v>0</v>
      </c>
      <c r="F128" s="66" t="n">
        <f aca="false">CHOOSE(Assumptions!$C$11,C128,D128,E128)</f>
        <v>0</v>
      </c>
      <c r="H128" s="58" t="s">
        <v>1772</v>
      </c>
    </row>
    <row r="129" customFormat="false" ht="15" hidden="false" customHeight="false" outlineLevel="0" collapsed="false">
      <c r="A129" s="28" t="s">
        <v>1773</v>
      </c>
      <c r="B129" s="58" t="s">
        <v>539</v>
      </c>
      <c r="C129" s="116" t="n">
        <v>46477</v>
      </c>
      <c r="D129" s="116" t="n">
        <v>46477</v>
      </c>
      <c r="E129" s="116" t="n">
        <v>46477</v>
      </c>
      <c r="F129" s="152" t="n">
        <f aca="false">CHOOSE(Assumptions!$C$11,C129,D129,E129)</f>
        <v>46477</v>
      </c>
      <c r="H129" s="58" t="s">
        <v>1774</v>
      </c>
    </row>
    <row r="130" customFormat="false" ht="15" hidden="false" customHeight="false" outlineLevel="0" collapsed="false">
      <c r="A130" s="28" t="s">
        <v>1775</v>
      </c>
      <c r="B130" s="58" t="s">
        <v>1752</v>
      </c>
      <c r="C130" s="150" t="n">
        <v>1</v>
      </c>
      <c r="D130" s="150" t="n">
        <v>0.85</v>
      </c>
      <c r="E130" s="150" t="n">
        <v>1</v>
      </c>
      <c r="F130" s="110" t="n">
        <f aca="false">CHOOSE(Assumptions!$C$11,C130,D130,E130)</f>
        <v>1</v>
      </c>
    </row>
    <row r="131" customFormat="false" ht="15" hidden="false" customHeight="false" outlineLevel="0" collapsed="false">
      <c r="A131" s="28" t="s">
        <v>1776</v>
      </c>
      <c r="B131" s="58"/>
      <c r="C131" s="130" t="n">
        <v>0.5</v>
      </c>
      <c r="D131" s="130" t="n">
        <v>0</v>
      </c>
      <c r="E131" s="130" t="n">
        <v>0.6</v>
      </c>
      <c r="F131" s="61" t="n">
        <f aca="false">CHOOSE(Assumptions!$C$11,C131,D131,E131)</f>
        <v>0.5</v>
      </c>
    </row>
    <row r="132" customFormat="false" ht="15" hidden="false" customHeight="false" outlineLevel="0" collapsed="false">
      <c r="A132" s="28" t="s">
        <v>1777</v>
      </c>
      <c r="B132" s="58"/>
      <c r="C132" s="130" t="n">
        <v>0.5</v>
      </c>
      <c r="D132" s="130" t="n">
        <v>0</v>
      </c>
      <c r="E132" s="130" t="n">
        <v>0.8</v>
      </c>
      <c r="F132" s="61" t="n">
        <f aca="false">CHOOSE(Assumptions!$C$11,C132,D132,E132)</f>
        <v>0.5</v>
      </c>
    </row>
    <row r="133" customFormat="false" ht="15" hidden="false" customHeight="false" outlineLevel="0" collapsed="false">
      <c r="A133" s="28" t="s">
        <v>1778</v>
      </c>
      <c r="B133" s="58" t="s">
        <v>539</v>
      </c>
      <c r="C133" s="116" t="n">
        <v>46356</v>
      </c>
      <c r="D133" s="116" t="n">
        <v>46446</v>
      </c>
      <c r="E133" s="116" t="n">
        <v>46326</v>
      </c>
      <c r="F133" s="152" t="n">
        <f aca="false">CHOOSE(Assumptions!$C$11,C133,D133,E133)</f>
        <v>46356</v>
      </c>
    </row>
  </sheetData>
  <dataValidations count="1">
    <dataValidation allowBlank="false" errorStyle="stop" operator="between" showDropDown="false" showErrorMessage="false" showInputMessage="false" sqref="C11"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9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28"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1779</v>
      </c>
    </row>
    <row r="3" customFormat="false" ht="15" hidden="false" customHeight="false" outlineLevel="0" collapsed="false">
      <c r="A3" s="49" t="s">
        <v>1780</v>
      </c>
    </row>
    <row r="4" customFormat="false" ht="15" hidden="false" customHeight="false" outlineLevel="0" collapsed="false">
      <c r="A4" s="50" t="s">
        <v>289</v>
      </c>
      <c r="B4" s="50" t="s">
        <v>290</v>
      </c>
      <c r="C4" s="51" t="s">
        <v>291</v>
      </c>
      <c r="D4" s="51" t="s">
        <v>292</v>
      </c>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c r="Q4" s="52" t="n">
        <f aca="false">Assumptions!Q$98</f>
        <v>46418</v>
      </c>
      <c r="R4" s="52" t="n">
        <f aca="false">Assumptions!R$98</f>
        <v>46446</v>
      </c>
      <c r="S4" s="52" t="n">
        <f aca="false">Assumptions!S$98</f>
        <v>46477</v>
      </c>
      <c r="T4" s="52" t="n">
        <f aca="false">Assumptions!T$98</f>
        <v>46507</v>
      </c>
      <c r="U4" s="52" t="n">
        <f aca="false">Assumptions!U$98</f>
        <v>46538</v>
      </c>
      <c r="V4" s="52" t="n">
        <f aca="false">Assumptions!V$98</f>
        <v>46568</v>
      </c>
      <c r="W4" s="52" t="n">
        <f aca="false">Assumptions!W$98</f>
        <v>46599</v>
      </c>
      <c r="X4" s="52" t="n">
        <f aca="false">Assumptions!X$98</f>
        <v>46630</v>
      </c>
      <c r="Y4" s="52" t="n">
        <f aca="false">Assumptions!Y$98</f>
        <v>46660</v>
      </c>
      <c r="Z4" s="52" t="n">
        <f aca="false">Assumptions!Z$98</f>
        <v>46691</v>
      </c>
      <c r="AA4" s="52" t="n">
        <f aca="false">Assumptions!AA$98</f>
        <v>46721</v>
      </c>
      <c r="AB4" s="52" t="n">
        <f aca="false">Assumptions!AB$98</f>
        <v>46752</v>
      </c>
    </row>
    <row r="5" customFormat="false" ht="15" hidden="false" customHeight="false" outlineLevel="0" collapsed="false">
      <c r="A5" s="53" t="s">
        <v>293</v>
      </c>
      <c r="B5" s="54"/>
      <c r="C5" s="55" t="s">
        <v>294</v>
      </c>
      <c r="D5" s="55" t="s">
        <v>295</v>
      </c>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c r="Q5" s="55" t="str">
        <f aca="false">Assumptions!Q$100</f>
        <v>F</v>
      </c>
      <c r="R5" s="55" t="str">
        <f aca="false">Assumptions!R$100</f>
        <v>F</v>
      </c>
      <c r="S5" s="55" t="str">
        <f aca="false">Assumptions!S$100</f>
        <v>F</v>
      </c>
      <c r="T5" s="55" t="str">
        <f aca="false">Assumptions!T$100</f>
        <v>F</v>
      </c>
      <c r="U5" s="55" t="str">
        <f aca="false">Assumptions!U$100</f>
        <v>F</v>
      </c>
      <c r="V5" s="55" t="str">
        <f aca="false">Assumptions!V$100</f>
        <v>F</v>
      </c>
      <c r="W5" s="55" t="str">
        <f aca="false">Assumptions!W$100</f>
        <v>F</v>
      </c>
      <c r="X5" s="55" t="str">
        <f aca="false">Assumptions!X$100</f>
        <v>F</v>
      </c>
      <c r="Y5" s="55" t="str">
        <f aca="false">Assumptions!Y$100</f>
        <v>F</v>
      </c>
      <c r="Z5" s="55" t="str">
        <f aca="false">Assumptions!Z$100</f>
        <v>F</v>
      </c>
      <c r="AA5" s="55" t="str">
        <f aca="false">Assumptions!AA$100</f>
        <v>F</v>
      </c>
      <c r="AB5" s="55" t="str">
        <f aca="false">Assumptions!AB$100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c r="Q6" s="57" t="n">
        <f aca="false">Assumptions!Q$99</f>
        <v>13</v>
      </c>
      <c r="R6" s="57" t="n">
        <f aca="false">Assumptions!R$99</f>
        <v>14</v>
      </c>
      <c r="S6" s="57" t="n">
        <f aca="false">Assumptions!S$99</f>
        <v>15</v>
      </c>
      <c r="T6" s="57" t="n">
        <f aca="false">Assumptions!T$99</f>
        <v>16</v>
      </c>
      <c r="U6" s="57" t="n">
        <f aca="false">Assumptions!U$99</f>
        <v>17</v>
      </c>
      <c r="V6" s="57" t="n">
        <f aca="false">Assumptions!V$99</f>
        <v>18</v>
      </c>
      <c r="W6" s="57" t="n">
        <f aca="false">Assumptions!W$99</f>
        <v>19</v>
      </c>
      <c r="X6" s="57" t="n">
        <f aca="false">Assumptions!X$99</f>
        <v>20</v>
      </c>
      <c r="Y6" s="57" t="n">
        <f aca="false">Assumptions!Y$99</f>
        <v>21</v>
      </c>
      <c r="Z6" s="57" t="n">
        <f aca="false">Assumptions!Z$99</f>
        <v>22</v>
      </c>
      <c r="AA6" s="57" t="n">
        <f aca="false">Assumptions!AA$99</f>
        <v>23</v>
      </c>
      <c r="AB6" s="57" t="n">
        <f aca="false">Assumptions!AB$99</f>
        <v>24</v>
      </c>
    </row>
    <row r="8" customFormat="false" ht="15" hidden="false" customHeight="false" outlineLevel="0" collapsed="false">
      <c r="A8" s="22" t="s">
        <v>1781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false" outlineLevel="0" collapsed="false">
      <c r="A9" s="28" t="s">
        <v>1188</v>
      </c>
      <c r="B9" s="58" t="s">
        <v>1782</v>
      </c>
      <c r="C9" s="120" t="n">
        <f aca="false">AVERAGE(E9:P9)</f>
        <v>0.86579375</v>
      </c>
      <c r="E9" s="141" t="n">
        <v>0.8694</v>
      </c>
      <c r="F9" s="141" t="n">
        <v>0.87125</v>
      </c>
      <c r="G9" s="141" t="n">
        <v>0.87231</v>
      </c>
      <c r="H9" s="141" t="n">
        <v>0.86729</v>
      </c>
      <c r="I9" s="141" t="n">
        <v>0.86674</v>
      </c>
      <c r="J9" s="141" t="n">
        <v>0.8645</v>
      </c>
      <c r="K9" s="141" t="n">
        <v>0.85875</v>
      </c>
      <c r="L9" s="141" t="n">
        <v>0.85611</v>
      </c>
    </row>
    <row r="10" customFormat="false" ht="15" hidden="false" customHeight="false" outlineLevel="0" collapsed="false">
      <c r="A10" s="28" t="s">
        <v>1190</v>
      </c>
      <c r="B10" s="58" t="s">
        <v>1783</v>
      </c>
      <c r="C10" s="120" t="n">
        <f aca="false">P10</f>
        <v>0</v>
      </c>
      <c r="E10" s="141" t="n">
        <v>0.8662</v>
      </c>
      <c r="F10" s="141" t="n">
        <v>0.8763</v>
      </c>
      <c r="G10" s="141" t="n">
        <v>0.86833</v>
      </c>
      <c r="H10" s="141" t="n">
        <v>0.86625</v>
      </c>
      <c r="I10" s="141" t="n">
        <v>0.86723</v>
      </c>
      <c r="J10" s="141" t="n">
        <v>0.86178</v>
      </c>
      <c r="K10" s="141" t="n">
        <v>0.85573</v>
      </c>
      <c r="L10" s="141" t="n">
        <v>0.85648</v>
      </c>
    </row>
    <row r="11" customFormat="false" ht="15" hidden="false" customHeight="false" outlineLevel="0" collapsed="false">
      <c r="A11" s="28" t="s">
        <v>1191</v>
      </c>
      <c r="B11" s="58" t="s">
        <v>1782</v>
      </c>
      <c r="C11" s="122" t="n">
        <f aca="false">AVERAGE(E11:P11)</f>
        <v>1.164</v>
      </c>
      <c r="E11" s="138" t="n">
        <v>1.18345</v>
      </c>
      <c r="F11" s="138" t="n">
        <v>1.1862</v>
      </c>
      <c r="G11" s="138" t="n">
        <v>1.16515</v>
      </c>
      <c r="H11" s="138" t="n">
        <v>1.16</v>
      </c>
      <c r="I11" s="138" t="n">
        <v>1.1673</v>
      </c>
      <c r="J11" s="138" t="n">
        <v>1.1519</v>
      </c>
      <c r="K11" s="138" t="n">
        <v>1.14395</v>
      </c>
      <c r="L11" s="138" t="n">
        <v>1.15405</v>
      </c>
    </row>
    <row r="12" customFormat="false" ht="15" hidden="false" customHeight="false" outlineLevel="0" collapsed="false">
      <c r="A12" s="28" t="s">
        <v>1192</v>
      </c>
      <c r="B12" s="58" t="s">
        <v>1783</v>
      </c>
      <c r="C12" s="122" t="n">
        <f aca="false">P12</f>
        <v>0</v>
      </c>
      <c r="E12" s="138" t="n">
        <v>1.1919</v>
      </c>
      <c r="F12" s="138" t="n">
        <v>1.1805</v>
      </c>
      <c r="G12" s="138" t="n">
        <v>1.1498</v>
      </c>
      <c r="H12" s="138" t="n">
        <v>1.1702</v>
      </c>
      <c r="I12" s="138" t="n">
        <v>1.1644</v>
      </c>
      <c r="J12" s="138" t="n">
        <v>1.1394</v>
      </c>
      <c r="K12" s="138" t="n">
        <v>1.1485</v>
      </c>
      <c r="L12" s="138" t="n">
        <v>1.1596</v>
      </c>
    </row>
    <row r="13" customFormat="false" ht="15" hidden="false" customHeight="false" outlineLevel="0" collapsed="false">
      <c r="A13" s="22" t="s">
        <v>1784</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false" outlineLevel="0" collapsed="false">
      <c r="A14" s="28" t="s">
        <v>1785</v>
      </c>
      <c r="B14" s="58" t="s">
        <v>1786</v>
      </c>
      <c r="C14" s="59" t="n">
        <f aca="false">SUM(E14:P14)</f>
        <v>336000</v>
      </c>
      <c r="E14" s="103" t="n">
        <v>42000</v>
      </c>
      <c r="F14" s="103" t="n">
        <v>42000</v>
      </c>
      <c r="G14" s="103" t="n">
        <v>42000</v>
      </c>
      <c r="H14" s="103" t="n">
        <v>42000</v>
      </c>
      <c r="I14" s="103" t="n">
        <v>42000</v>
      </c>
      <c r="J14" s="103" t="n">
        <v>42000</v>
      </c>
      <c r="K14" s="103" t="n">
        <v>42000</v>
      </c>
      <c r="L14" s="103" t="n">
        <v>42000</v>
      </c>
    </row>
    <row r="15" customFormat="false" ht="15" hidden="false" customHeight="false" outlineLevel="0" collapsed="false">
      <c r="A15" s="28" t="s">
        <v>1787</v>
      </c>
      <c r="B15" s="58" t="s">
        <v>1788</v>
      </c>
      <c r="C15" s="66" t="n">
        <f aca="false">SUM(E15:P15)</f>
        <v>3963.3</v>
      </c>
      <c r="E15" s="133" t="n">
        <v>514.8</v>
      </c>
      <c r="F15" s="133" t="n">
        <v>496.4</v>
      </c>
      <c r="G15" s="133" t="n">
        <v>508.5</v>
      </c>
      <c r="H15" s="133" t="n">
        <v>486.3</v>
      </c>
      <c r="I15" s="133" t="n">
        <v>483.1</v>
      </c>
      <c r="J15" s="133" t="n">
        <v>490.1</v>
      </c>
      <c r="K15" s="133" t="n">
        <v>489.4</v>
      </c>
      <c r="L15" s="133" t="n">
        <v>494.7</v>
      </c>
    </row>
    <row r="16" customFormat="false" ht="15" hidden="false" customHeight="false" outlineLevel="0" collapsed="false">
      <c r="A16" s="28" t="s">
        <v>1789</v>
      </c>
      <c r="B16" s="58" t="s">
        <v>1790</v>
      </c>
      <c r="C16" s="59" t="n">
        <f aca="false">SUM(E16:P16)</f>
        <v>336000</v>
      </c>
      <c r="E16" s="103" t="n">
        <v>42000</v>
      </c>
      <c r="F16" s="103" t="n">
        <v>42000</v>
      </c>
      <c r="G16" s="103" t="n">
        <v>42000</v>
      </c>
      <c r="H16" s="103" t="n">
        <v>42000</v>
      </c>
      <c r="I16" s="103" t="n">
        <v>42000</v>
      </c>
      <c r="J16" s="103" t="n">
        <v>42000</v>
      </c>
      <c r="K16" s="103" t="n">
        <v>42000</v>
      </c>
      <c r="L16" s="103" t="n">
        <v>42000</v>
      </c>
    </row>
    <row r="17" customFormat="false" ht="15" hidden="false" customHeight="false" outlineLevel="0" collapsed="false">
      <c r="A17" s="28" t="s">
        <v>1791</v>
      </c>
      <c r="B17" s="58" t="s">
        <v>1786</v>
      </c>
      <c r="C17" s="59" t="n">
        <f aca="false">SUM(E17:P17)</f>
        <v>120000</v>
      </c>
      <c r="E17" s="103" t="n">
        <v>15000</v>
      </c>
      <c r="F17" s="103" t="n">
        <v>15000</v>
      </c>
      <c r="G17" s="103" t="n">
        <v>15000</v>
      </c>
      <c r="H17" s="103" t="n">
        <v>15000</v>
      </c>
      <c r="I17" s="103" t="n">
        <v>15000</v>
      </c>
      <c r="J17" s="103" t="n">
        <v>15000</v>
      </c>
      <c r="K17" s="103" t="n">
        <v>15000</v>
      </c>
      <c r="L17" s="103" t="n">
        <v>15000</v>
      </c>
    </row>
    <row r="18" customFormat="false" ht="15" hidden="false" customHeight="false" outlineLevel="0" collapsed="false">
      <c r="A18" s="28" t="s">
        <v>1792</v>
      </c>
      <c r="B18" s="58" t="s">
        <v>1788</v>
      </c>
      <c r="C18" s="66" t="n">
        <f aca="false">SUM(E18:P18)</f>
        <v>1582.5</v>
      </c>
      <c r="E18" s="133" t="n">
        <v>197.3</v>
      </c>
      <c r="F18" s="133" t="n">
        <v>199.6</v>
      </c>
      <c r="G18" s="133" t="n">
        <v>191.4</v>
      </c>
      <c r="H18" s="133" t="n">
        <v>197</v>
      </c>
      <c r="I18" s="133" t="n">
        <v>191.6</v>
      </c>
      <c r="J18" s="133" t="n">
        <v>200.9</v>
      </c>
      <c r="K18" s="133" t="n">
        <v>199.6</v>
      </c>
      <c r="L18" s="133" t="n">
        <v>205.1</v>
      </c>
    </row>
    <row r="19" customFormat="false" ht="15" hidden="false" customHeight="false" outlineLevel="0" collapsed="false">
      <c r="A19" s="28" t="s">
        <v>1793</v>
      </c>
      <c r="B19" s="58" t="s">
        <v>1790</v>
      </c>
      <c r="C19" s="59" t="n">
        <f aca="false">SUM(E19:P19)</f>
        <v>135000</v>
      </c>
      <c r="E19" s="103" t="n">
        <v>45000</v>
      </c>
      <c r="F19" s="103" t="n">
        <v>0</v>
      </c>
      <c r="G19" s="103" t="n">
        <v>0</v>
      </c>
      <c r="H19" s="103" t="n">
        <v>45000</v>
      </c>
      <c r="I19" s="103" t="n">
        <v>0</v>
      </c>
      <c r="J19" s="103" t="n">
        <v>0</v>
      </c>
      <c r="K19" s="103" t="n">
        <v>45000</v>
      </c>
      <c r="L19" s="103" t="n">
        <v>0</v>
      </c>
    </row>
    <row r="20" customFormat="false" ht="15" hidden="false" customHeight="false" outlineLevel="0" collapsed="false">
      <c r="A20" s="28" t="s">
        <v>1794</v>
      </c>
      <c r="B20" s="58" t="s">
        <v>1786</v>
      </c>
      <c r="C20" s="59" t="n">
        <f aca="false">SUM(E20:P20)</f>
        <v>144000</v>
      </c>
      <c r="E20" s="103" t="n">
        <v>18000</v>
      </c>
      <c r="F20" s="103" t="n">
        <v>18000</v>
      </c>
      <c r="G20" s="103" t="n">
        <v>18000</v>
      </c>
      <c r="H20" s="103" t="n">
        <v>18000</v>
      </c>
      <c r="I20" s="103" t="n">
        <v>18000</v>
      </c>
      <c r="J20" s="103" t="n">
        <v>18000</v>
      </c>
      <c r="K20" s="103" t="n">
        <v>18000</v>
      </c>
      <c r="L20" s="103" t="n">
        <v>18000</v>
      </c>
    </row>
    <row r="21" customFormat="false" ht="15" hidden="false" customHeight="false" outlineLevel="0" collapsed="false">
      <c r="A21" s="28" t="s">
        <v>1795</v>
      </c>
      <c r="B21" s="58" t="s">
        <v>1788</v>
      </c>
      <c r="C21" s="66" t="n">
        <f aca="false">SUM(E21:P21)</f>
        <v>1663.1</v>
      </c>
      <c r="E21" s="133" t="n">
        <v>209.5</v>
      </c>
      <c r="F21" s="133" t="n">
        <v>214</v>
      </c>
      <c r="G21" s="133" t="n">
        <v>205.8</v>
      </c>
      <c r="H21" s="133" t="n">
        <v>214.7</v>
      </c>
      <c r="I21" s="133" t="n">
        <v>207.3</v>
      </c>
      <c r="J21" s="133" t="n">
        <v>195.5</v>
      </c>
      <c r="K21" s="133" t="n">
        <v>216.4</v>
      </c>
      <c r="L21" s="133" t="n">
        <v>199.9</v>
      </c>
    </row>
    <row r="22" customFormat="false" ht="15" hidden="false" customHeight="false" outlineLevel="0" collapsed="false">
      <c r="A22" s="28" t="s">
        <v>1796</v>
      </c>
      <c r="B22" s="58" t="s">
        <v>1790</v>
      </c>
      <c r="C22" s="59" t="n">
        <f aca="false">SUM(E22:P22)</f>
        <v>144000</v>
      </c>
      <c r="E22" s="103" t="n">
        <v>18000</v>
      </c>
      <c r="F22" s="103" t="n">
        <v>18000</v>
      </c>
      <c r="G22" s="103" t="n">
        <v>18000</v>
      </c>
      <c r="H22" s="103" t="n">
        <v>18000</v>
      </c>
      <c r="I22" s="103" t="n">
        <v>18000</v>
      </c>
      <c r="J22" s="103" t="n">
        <v>18000</v>
      </c>
      <c r="K22" s="103" t="n">
        <v>18000</v>
      </c>
      <c r="L22" s="103" t="n">
        <v>18000</v>
      </c>
    </row>
    <row r="23" customFormat="false" ht="15" hidden="false" customHeight="false" outlineLevel="0" collapsed="false">
      <c r="A23" s="28" t="s">
        <v>1797</v>
      </c>
      <c r="B23" s="58" t="s">
        <v>1786</v>
      </c>
      <c r="C23" s="59" t="n">
        <f aca="false">SUM(E23:P23)</f>
        <v>34500</v>
      </c>
      <c r="E23" s="103" t="n">
        <v>0</v>
      </c>
      <c r="F23" s="103" t="n">
        <v>0</v>
      </c>
      <c r="G23" s="103" t="n">
        <v>0</v>
      </c>
      <c r="H23" s="103" t="n">
        <v>0</v>
      </c>
      <c r="I23" s="103" t="n">
        <v>0</v>
      </c>
      <c r="J23" s="103" t="n">
        <v>11500</v>
      </c>
      <c r="K23" s="103" t="n">
        <v>11500</v>
      </c>
      <c r="L23" s="103" t="n">
        <v>11500</v>
      </c>
    </row>
    <row r="24" customFormat="false" ht="15" hidden="false" customHeight="false" outlineLevel="0" collapsed="false">
      <c r="A24" s="28" t="s">
        <v>1798</v>
      </c>
      <c r="B24" s="58" t="s">
        <v>1788</v>
      </c>
      <c r="C24" s="66" t="n">
        <f aca="false">SUM(E24:P24)</f>
        <v>447.7</v>
      </c>
      <c r="E24" s="133" t="n">
        <v>0</v>
      </c>
      <c r="F24" s="133" t="n">
        <v>0</v>
      </c>
      <c r="G24" s="133" t="n">
        <v>0</v>
      </c>
      <c r="H24" s="133" t="n">
        <v>0</v>
      </c>
      <c r="I24" s="133" t="n">
        <v>0</v>
      </c>
      <c r="J24" s="133" t="n">
        <v>153.2</v>
      </c>
      <c r="K24" s="133" t="n">
        <v>146.2</v>
      </c>
      <c r="L24" s="133" t="n">
        <v>148.3</v>
      </c>
    </row>
    <row r="25" customFormat="false" ht="15" hidden="false" customHeight="false" outlineLevel="0" collapsed="false">
      <c r="A25" s="28" t="s">
        <v>1799</v>
      </c>
      <c r="B25" s="58" t="s">
        <v>1790</v>
      </c>
      <c r="C25" s="59" t="n">
        <f aca="false">SUM(E25:P25)</f>
        <v>34500</v>
      </c>
      <c r="E25" s="103" t="n">
        <v>0</v>
      </c>
      <c r="F25" s="103" t="n">
        <v>0</v>
      </c>
      <c r="G25" s="103" t="n">
        <v>0</v>
      </c>
      <c r="H25" s="103" t="n">
        <v>0</v>
      </c>
      <c r="I25" s="103" t="n">
        <v>0</v>
      </c>
      <c r="J25" s="103" t="n">
        <v>11500</v>
      </c>
      <c r="K25" s="103" t="n">
        <v>11500</v>
      </c>
      <c r="L25" s="103" t="n">
        <v>11500</v>
      </c>
    </row>
    <row r="26" customFormat="false" ht="15" hidden="false" customHeight="false" outlineLevel="0" collapsed="false">
      <c r="A26" s="28" t="s">
        <v>1800</v>
      </c>
      <c r="B26" s="58" t="s">
        <v>1786</v>
      </c>
      <c r="C26" s="59" t="n">
        <f aca="false">SUM(E26:P26)</f>
        <v>130000</v>
      </c>
      <c r="E26" s="103" t="n">
        <v>0</v>
      </c>
      <c r="F26" s="103" t="n">
        <v>0</v>
      </c>
      <c r="G26" s="103" t="n">
        <v>0</v>
      </c>
      <c r="H26" s="103" t="n">
        <v>26000</v>
      </c>
      <c r="I26" s="103" t="n">
        <v>26000</v>
      </c>
      <c r="J26" s="103" t="n">
        <v>26000</v>
      </c>
      <c r="K26" s="103" t="n">
        <v>26000</v>
      </c>
      <c r="L26" s="103" t="n">
        <v>26000</v>
      </c>
    </row>
    <row r="27" customFormat="false" ht="15" hidden="false" customHeight="false" outlineLevel="0" collapsed="false">
      <c r="A27" s="28" t="s">
        <v>1801</v>
      </c>
      <c r="B27" s="58" t="s">
        <v>1788</v>
      </c>
      <c r="C27" s="66" t="n">
        <f aca="false">SUM(E27:P27)</f>
        <v>1226.7</v>
      </c>
      <c r="E27" s="133" t="n">
        <v>0</v>
      </c>
      <c r="F27" s="133" t="n">
        <v>0</v>
      </c>
      <c r="G27" s="133" t="n">
        <v>0</v>
      </c>
      <c r="H27" s="133" t="n">
        <v>251.1</v>
      </c>
      <c r="I27" s="133" t="n">
        <v>255.8</v>
      </c>
      <c r="J27" s="133" t="n">
        <v>244.2</v>
      </c>
      <c r="K27" s="133" t="n">
        <v>240.5</v>
      </c>
      <c r="L27" s="133" t="n">
        <v>235.1</v>
      </c>
    </row>
    <row r="28" customFormat="false" ht="15" hidden="false" customHeight="false" outlineLevel="0" collapsed="false">
      <c r="A28" s="28" t="s">
        <v>1802</v>
      </c>
      <c r="B28" s="58" t="s">
        <v>1790</v>
      </c>
      <c r="C28" s="59" t="n">
        <f aca="false">SUM(E28:P28)</f>
        <v>130000</v>
      </c>
      <c r="E28" s="103" t="n">
        <v>0</v>
      </c>
      <c r="F28" s="103" t="n">
        <v>0</v>
      </c>
      <c r="G28" s="103" t="n">
        <v>0</v>
      </c>
      <c r="H28" s="103" t="n">
        <v>26000</v>
      </c>
      <c r="I28" s="103" t="n">
        <v>26000</v>
      </c>
      <c r="J28" s="103" t="n">
        <v>26000</v>
      </c>
      <c r="K28" s="103" t="n">
        <v>26000</v>
      </c>
      <c r="L28" s="103" t="n">
        <v>26000</v>
      </c>
    </row>
    <row r="29" customFormat="false" ht="15" hidden="false" customHeight="false" outlineLevel="0" collapsed="false">
      <c r="A29" s="28" t="s">
        <v>1803</v>
      </c>
      <c r="B29" s="58" t="s">
        <v>1786</v>
      </c>
      <c r="C29" s="59" t="n">
        <f aca="false">SUM(E29:P29)</f>
        <v>88000</v>
      </c>
      <c r="E29" s="103" t="n">
        <v>11000</v>
      </c>
      <c r="F29" s="103" t="n">
        <v>11000</v>
      </c>
      <c r="G29" s="103" t="n">
        <v>11000</v>
      </c>
      <c r="H29" s="103" t="n">
        <v>11000</v>
      </c>
      <c r="I29" s="103" t="n">
        <v>11000</v>
      </c>
      <c r="J29" s="103" t="n">
        <v>11000</v>
      </c>
      <c r="K29" s="103" t="n">
        <v>11000</v>
      </c>
      <c r="L29" s="103" t="n">
        <v>11000</v>
      </c>
    </row>
    <row r="30" customFormat="false" ht="15" hidden="false" customHeight="false" outlineLevel="0" collapsed="false">
      <c r="A30" s="28" t="s">
        <v>1804</v>
      </c>
      <c r="B30" s="58" t="s">
        <v>1788</v>
      </c>
      <c r="C30" s="66" t="n">
        <f aca="false">SUM(E30:P30)</f>
        <v>815.9</v>
      </c>
      <c r="E30" s="133" t="n">
        <v>95.2</v>
      </c>
      <c r="F30" s="133" t="n">
        <v>98.3</v>
      </c>
      <c r="G30" s="133" t="n">
        <v>102.8</v>
      </c>
      <c r="H30" s="133" t="n">
        <v>107.6</v>
      </c>
      <c r="I30" s="133" t="n">
        <v>110.5</v>
      </c>
      <c r="J30" s="133" t="n">
        <v>94.7</v>
      </c>
      <c r="K30" s="133" t="n">
        <v>104.2</v>
      </c>
      <c r="L30" s="133" t="n">
        <v>102.6</v>
      </c>
    </row>
    <row r="31" customFormat="false" ht="15" hidden="false" customHeight="false" outlineLevel="0" collapsed="false">
      <c r="A31" s="28" t="s">
        <v>1805</v>
      </c>
      <c r="B31" s="58" t="s">
        <v>1790</v>
      </c>
      <c r="C31" s="59" t="n">
        <f aca="false">SUM(E31:P31)</f>
        <v>88000</v>
      </c>
      <c r="E31" s="103" t="n">
        <v>11000</v>
      </c>
      <c r="F31" s="103" t="n">
        <v>11000</v>
      </c>
      <c r="G31" s="103" t="n">
        <v>11000</v>
      </c>
      <c r="H31" s="103" t="n">
        <v>11000</v>
      </c>
      <c r="I31" s="103" t="n">
        <v>11000</v>
      </c>
      <c r="J31" s="103" t="n">
        <v>11000</v>
      </c>
      <c r="K31" s="103" t="n">
        <v>11000</v>
      </c>
      <c r="L31" s="103" t="n">
        <v>11000</v>
      </c>
    </row>
    <row r="32" customFormat="false" ht="15" hidden="false" customHeight="false" outlineLevel="0" collapsed="false">
      <c r="A32" s="28" t="s">
        <v>1806</v>
      </c>
      <c r="B32" s="58" t="s">
        <v>1786</v>
      </c>
      <c r="C32" s="59" t="n">
        <f aca="false">SUM(E32:P32)</f>
        <v>148000</v>
      </c>
      <c r="E32" s="103" t="n">
        <v>18500</v>
      </c>
      <c r="F32" s="103" t="n">
        <v>18500</v>
      </c>
      <c r="G32" s="103" t="n">
        <v>18500</v>
      </c>
      <c r="H32" s="103" t="n">
        <v>18500</v>
      </c>
      <c r="I32" s="103" t="n">
        <v>18500</v>
      </c>
      <c r="J32" s="103" t="n">
        <v>18500</v>
      </c>
      <c r="K32" s="103" t="n">
        <v>18500</v>
      </c>
      <c r="L32" s="103" t="n">
        <v>18500</v>
      </c>
    </row>
    <row r="33" customFormat="false" ht="15" hidden="false" customHeight="false" outlineLevel="0" collapsed="false">
      <c r="A33" s="28" t="s">
        <v>1807</v>
      </c>
      <c r="B33" s="58" t="s">
        <v>1788</v>
      </c>
      <c r="C33" s="66" t="n">
        <f aca="false">SUM(E33:P33)</f>
        <v>1920.5</v>
      </c>
      <c r="E33" s="133" t="n">
        <v>245.6</v>
      </c>
      <c r="F33" s="133" t="n">
        <v>240.6</v>
      </c>
      <c r="G33" s="133" t="n">
        <v>251</v>
      </c>
      <c r="H33" s="133" t="n">
        <v>231.6</v>
      </c>
      <c r="I33" s="133" t="n">
        <v>238.5</v>
      </c>
      <c r="J33" s="133" t="n">
        <v>233.5</v>
      </c>
      <c r="K33" s="133" t="n">
        <v>245.4</v>
      </c>
      <c r="L33" s="133" t="n">
        <v>234.3</v>
      </c>
    </row>
    <row r="34" customFormat="false" ht="15" hidden="false" customHeight="false" outlineLevel="0" collapsed="false">
      <c r="A34" s="28" t="s">
        <v>1808</v>
      </c>
      <c r="B34" s="58" t="s">
        <v>1790</v>
      </c>
      <c r="C34" s="59" t="n">
        <f aca="false">SUM(E34:P34)</f>
        <v>148000</v>
      </c>
      <c r="E34" s="103" t="n">
        <v>18500</v>
      </c>
      <c r="F34" s="103" t="n">
        <v>18500</v>
      </c>
      <c r="G34" s="103" t="n">
        <v>18500</v>
      </c>
      <c r="H34" s="103" t="n">
        <v>18500</v>
      </c>
      <c r="I34" s="103" t="n">
        <v>18500</v>
      </c>
      <c r="J34" s="103" t="n">
        <v>18500</v>
      </c>
      <c r="K34" s="103" t="n">
        <v>18500</v>
      </c>
      <c r="L34" s="103" t="n">
        <v>18500</v>
      </c>
    </row>
    <row r="35" customFormat="false" ht="15" hidden="false" customHeight="false" outlineLevel="0" collapsed="false">
      <c r="A35" s="28" t="s">
        <v>1809</v>
      </c>
      <c r="B35" s="58" t="s">
        <v>1786</v>
      </c>
      <c r="C35" s="59" t="n">
        <f aca="false">SUM(E35:P35)</f>
        <v>128000</v>
      </c>
      <c r="E35" s="103" t="n">
        <v>16000</v>
      </c>
      <c r="F35" s="103" t="n">
        <v>16000</v>
      </c>
      <c r="G35" s="103" t="n">
        <v>16000</v>
      </c>
      <c r="H35" s="103" t="n">
        <v>16000</v>
      </c>
      <c r="I35" s="103" t="n">
        <v>16000</v>
      </c>
      <c r="J35" s="103" t="n">
        <v>16000</v>
      </c>
      <c r="K35" s="103" t="n">
        <v>16000</v>
      </c>
      <c r="L35" s="103" t="n">
        <v>16000</v>
      </c>
    </row>
    <row r="36" customFormat="false" ht="15" hidden="false" customHeight="false" outlineLevel="0" collapsed="false">
      <c r="A36" s="28" t="s">
        <v>1810</v>
      </c>
      <c r="B36" s="58" t="s">
        <v>1788</v>
      </c>
      <c r="C36" s="66" t="n">
        <f aca="false">SUM(E36:P36)</f>
        <v>1385.7</v>
      </c>
      <c r="E36" s="133" t="n">
        <v>178.1</v>
      </c>
      <c r="F36" s="133" t="n">
        <v>172.8</v>
      </c>
      <c r="G36" s="133" t="n">
        <v>166.2</v>
      </c>
      <c r="H36" s="133" t="n">
        <v>163.9</v>
      </c>
      <c r="I36" s="133" t="n">
        <v>177</v>
      </c>
      <c r="J36" s="133" t="n">
        <v>178.5</v>
      </c>
      <c r="K36" s="133" t="n">
        <v>180.7</v>
      </c>
      <c r="L36" s="133" t="n">
        <v>168.5</v>
      </c>
    </row>
    <row r="37" customFormat="false" ht="15" hidden="false" customHeight="false" outlineLevel="0" collapsed="false">
      <c r="A37" s="28" t="s">
        <v>1811</v>
      </c>
      <c r="B37" s="58" t="s">
        <v>1790</v>
      </c>
      <c r="C37" s="59" t="n">
        <f aca="false">SUM(E37:P37)</f>
        <v>144000</v>
      </c>
      <c r="E37" s="103" t="n">
        <v>48000</v>
      </c>
      <c r="F37" s="103" t="n">
        <v>0</v>
      </c>
      <c r="G37" s="103" t="n">
        <v>0</v>
      </c>
      <c r="H37" s="103" t="n">
        <v>48000</v>
      </c>
      <c r="I37" s="103" t="n">
        <v>0</v>
      </c>
      <c r="J37" s="103" t="n">
        <v>0</v>
      </c>
      <c r="K37" s="103" t="n">
        <v>48000</v>
      </c>
      <c r="L37" s="103" t="n">
        <v>0</v>
      </c>
    </row>
    <row r="38" customFormat="false" ht="15" hidden="false" customHeight="false" outlineLevel="0" collapsed="false">
      <c r="A38" s="28" t="s">
        <v>1812</v>
      </c>
      <c r="B38" s="58" t="s">
        <v>1786</v>
      </c>
      <c r="C38" s="59" t="n">
        <f aca="false">SUM(E38:P38)</f>
        <v>112000</v>
      </c>
      <c r="E38" s="103" t="n">
        <v>14000</v>
      </c>
      <c r="F38" s="103" t="n">
        <v>14000</v>
      </c>
      <c r="G38" s="103" t="n">
        <v>14000</v>
      </c>
      <c r="H38" s="103" t="n">
        <v>14000</v>
      </c>
      <c r="I38" s="103" t="n">
        <v>14000</v>
      </c>
      <c r="J38" s="103" t="n">
        <v>14000</v>
      </c>
      <c r="K38" s="103" t="n">
        <v>14000</v>
      </c>
      <c r="L38" s="103" t="n">
        <v>14000</v>
      </c>
    </row>
    <row r="39" customFormat="false" ht="15" hidden="false" customHeight="false" outlineLevel="0" collapsed="false">
      <c r="A39" s="28" t="s">
        <v>1813</v>
      </c>
      <c r="B39" s="58" t="s">
        <v>1788</v>
      </c>
      <c r="C39" s="66" t="n">
        <f aca="false">SUM(E39:P39)</f>
        <v>1249.2</v>
      </c>
      <c r="E39" s="133" t="n">
        <v>161.4</v>
      </c>
      <c r="F39" s="133" t="n">
        <v>155</v>
      </c>
      <c r="G39" s="133" t="n">
        <v>163.4</v>
      </c>
      <c r="H39" s="133" t="n">
        <v>151.2</v>
      </c>
      <c r="I39" s="133" t="n">
        <v>153.9</v>
      </c>
      <c r="J39" s="133" t="n">
        <v>147.7</v>
      </c>
      <c r="K39" s="133" t="n">
        <v>157.4</v>
      </c>
      <c r="L39" s="133" t="n">
        <v>159.2</v>
      </c>
    </row>
    <row r="40" customFormat="false" ht="15" hidden="false" customHeight="false" outlineLevel="0" collapsed="false">
      <c r="A40" s="28" t="s">
        <v>1814</v>
      </c>
      <c r="B40" s="58" t="s">
        <v>1790</v>
      </c>
      <c r="C40" s="59" t="n">
        <f aca="false">SUM(E40:P40)</f>
        <v>112000</v>
      </c>
      <c r="E40" s="103" t="n">
        <v>14000</v>
      </c>
      <c r="F40" s="103" t="n">
        <v>14000</v>
      </c>
      <c r="G40" s="103" t="n">
        <v>14000</v>
      </c>
      <c r="H40" s="103" t="n">
        <v>14000</v>
      </c>
      <c r="I40" s="103" t="n">
        <v>14000</v>
      </c>
      <c r="J40" s="103" t="n">
        <v>14000</v>
      </c>
      <c r="K40" s="103" t="n">
        <v>14000</v>
      </c>
      <c r="L40" s="103" t="n">
        <v>14000</v>
      </c>
    </row>
    <row r="41" customFormat="false" ht="15" hidden="false" customHeight="false" outlineLevel="0" collapsed="false">
      <c r="A41" s="28" t="s">
        <v>1815</v>
      </c>
      <c r="B41" s="58" t="s">
        <v>1786</v>
      </c>
      <c r="C41" s="59" t="n">
        <f aca="false">SUM(E41:P41)</f>
        <v>108000</v>
      </c>
      <c r="E41" s="103" t="n">
        <v>13500</v>
      </c>
      <c r="F41" s="103" t="n">
        <v>13500</v>
      </c>
      <c r="G41" s="103" t="n">
        <v>13500</v>
      </c>
      <c r="H41" s="103" t="n">
        <v>13500</v>
      </c>
      <c r="I41" s="103" t="n">
        <v>13500</v>
      </c>
      <c r="J41" s="103" t="n">
        <v>13500</v>
      </c>
      <c r="K41" s="103" t="n">
        <v>13500</v>
      </c>
      <c r="L41" s="103" t="n">
        <v>13500</v>
      </c>
    </row>
    <row r="42" customFormat="false" ht="15" hidden="false" customHeight="false" outlineLevel="0" collapsed="false">
      <c r="A42" s="28" t="s">
        <v>1816</v>
      </c>
      <c r="B42" s="58" t="s">
        <v>1788</v>
      </c>
      <c r="C42" s="66" t="n">
        <f aca="false">SUM(E42:P42)</f>
        <v>1344.9</v>
      </c>
      <c r="E42" s="133" t="n">
        <v>173.7</v>
      </c>
      <c r="F42" s="133" t="n">
        <v>166.3</v>
      </c>
      <c r="G42" s="133" t="n">
        <v>168.2</v>
      </c>
      <c r="H42" s="133" t="n">
        <v>171.9</v>
      </c>
      <c r="I42" s="133" t="n">
        <v>166.6</v>
      </c>
      <c r="J42" s="133" t="n">
        <v>163.6</v>
      </c>
      <c r="K42" s="133" t="n">
        <v>160.1</v>
      </c>
      <c r="L42" s="133" t="n">
        <v>174.5</v>
      </c>
    </row>
    <row r="43" customFormat="false" ht="15" hidden="false" customHeight="false" outlineLevel="0" collapsed="false">
      <c r="A43" s="28" t="s">
        <v>1817</v>
      </c>
      <c r="B43" s="58" t="s">
        <v>1790</v>
      </c>
      <c r="C43" s="59" t="n">
        <f aca="false">SUM(E43:P43)</f>
        <v>108000</v>
      </c>
      <c r="E43" s="103" t="n">
        <v>13500</v>
      </c>
      <c r="F43" s="103" t="n">
        <v>13500</v>
      </c>
      <c r="G43" s="103" t="n">
        <v>13500</v>
      </c>
      <c r="H43" s="103" t="n">
        <v>13500</v>
      </c>
      <c r="I43" s="103" t="n">
        <v>13500</v>
      </c>
      <c r="J43" s="103" t="n">
        <v>13500</v>
      </c>
      <c r="K43" s="103" t="n">
        <v>13500</v>
      </c>
      <c r="L43" s="103" t="n">
        <v>13500</v>
      </c>
    </row>
    <row r="44" customFormat="false" ht="15" hidden="false" customHeight="false" outlineLevel="0" collapsed="false">
      <c r="A44" s="28" t="s">
        <v>1818</v>
      </c>
      <c r="B44" s="58" t="s">
        <v>1786</v>
      </c>
      <c r="C44" s="59" t="n">
        <f aca="false">SUM(E44:P44)</f>
        <v>72000</v>
      </c>
      <c r="E44" s="103" t="n">
        <v>9000</v>
      </c>
      <c r="F44" s="103" t="n">
        <v>9000</v>
      </c>
      <c r="G44" s="103" t="n">
        <v>9000</v>
      </c>
      <c r="H44" s="103" t="n">
        <v>9000</v>
      </c>
      <c r="I44" s="103" t="n">
        <v>9000</v>
      </c>
      <c r="J44" s="103" t="n">
        <v>9000</v>
      </c>
      <c r="K44" s="103" t="n">
        <v>9000</v>
      </c>
      <c r="L44" s="103" t="n">
        <v>9000</v>
      </c>
    </row>
    <row r="45" customFormat="false" ht="15" hidden="false" customHeight="false" outlineLevel="0" collapsed="false">
      <c r="A45" s="28" t="s">
        <v>1819</v>
      </c>
      <c r="B45" s="58" t="s">
        <v>1788</v>
      </c>
      <c r="C45" s="66" t="n">
        <f aca="false">SUM(E45:P45)</f>
        <v>805.4</v>
      </c>
      <c r="E45" s="133" t="n">
        <v>104</v>
      </c>
      <c r="F45" s="133" t="n">
        <v>95.3</v>
      </c>
      <c r="G45" s="133" t="n">
        <v>100.5</v>
      </c>
      <c r="H45" s="133" t="n">
        <v>104.8</v>
      </c>
      <c r="I45" s="133" t="n">
        <v>99.5</v>
      </c>
      <c r="J45" s="133" t="n">
        <v>102.4</v>
      </c>
      <c r="K45" s="133" t="n">
        <v>96.2</v>
      </c>
      <c r="L45" s="133" t="n">
        <v>102.7</v>
      </c>
    </row>
    <row r="46" customFormat="false" ht="15" hidden="false" customHeight="false" outlineLevel="0" collapsed="false">
      <c r="A46" s="28" t="s">
        <v>1820</v>
      </c>
      <c r="B46" s="58" t="s">
        <v>1790</v>
      </c>
      <c r="C46" s="59" t="n">
        <f aca="false">SUM(E46:P46)</f>
        <v>72000</v>
      </c>
      <c r="E46" s="103" t="n">
        <v>9000</v>
      </c>
      <c r="F46" s="103" t="n">
        <v>9000</v>
      </c>
      <c r="G46" s="103" t="n">
        <v>9000</v>
      </c>
      <c r="H46" s="103" t="n">
        <v>9000</v>
      </c>
      <c r="I46" s="103" t="n">
        <v>9000</v>
      </c>
      <c r="J46" s="103" t="n">
        <v>9000</v>
      </c>
      <c r="K46" s="103" t="n">
        <v>9000</v>
      </c>
      <c r="L46" s="103" t="n">
        <v>9000</v>
      </c>
    </row>
    <row r="47" customFormat="false" ht="15" hidden="false" customHeight="false" outlineLevel="0" collapsed="false">
      <c r="A47" s="22" t="s">
        <v>1821</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customFormat="false" ht="15" hidden="false" customHeight="false" outlineLevel="0" collapsed="false">
      <c r="A48" s="28" t="s">
        <v>1822</v>
      </c>
      <c r="B48" s="58" t="s">
        <v>1788</v>
      </c>
      <c r="C48" s="66" t="n">
        <f aca="false">SUM(E48:P48)</f>
        <v>185</v>
      </c>
      <c r="E48" s="133" t="n">
        <v>133.4</v>
      </c>
      <c r="F48" s="133" t="n">
        <v>51.6</v>
      </c>
      <c r="G48" s="133" t="n">
        <v>0</v>
      </c>
      <c r="H48" s="133" t="n">
        <v>0</v>
      </c>
      <c r="I48" s="133" t="n">
        <v>0</v>
      </c>
      <c r="J48" s="133" t="n">
        <v>0</v>
      </c>
      <c r="K48" s="133" t="n">
        <v>0</v>
      </c>
      <c r="L48" s="133" t="n">
        <v>0</v>
      </c>
    </row>
    <row r="49" customFormat="false" ht="15" hidden="false" customHeight="false" outlineLevel="0" collapsed="false">
      <c r="A49" s="28" t="s">
        <v>1823</v>
      </c>
      <c r="B49" s="58" t="s">
        <v>1824</v>
      </c>
      <c r="E49" s="133" t="n">
        <v>51.6</v>
      </c>
      <c r="F49" s="133" t="n">
        <v>0</v>
      </c>
      <c r="G49" s="133" t="n">
        <v>0</v>
      </c>
      <c r="H49" s="133" t="n">
        <v>0</v>
      </c>
      <c r="I49" s="133" t="n">
        <v>0</v>
      </c>
      <c r="J49" s="133" t="n">
        <v>0</v>
      </c>
      <c r="K49" s="133" t="n">
        <v>0</v>
      </c>
      <c r="L49" s="133" t="n">
        <v>0</v>
      </c>
    </row>
    <row r="50" customFormat="false" ht="15" hidden="false" customHeight="false" outlineLevel="0" collapsed="false">
      <c r="A50" s="28" t="s">
        <v>1825</v>
      </c>
      <c r="B50" s="58" t="s">
        <v>1826</v>
      </c>
      <c r="E50" s="103" t="n">
        <v>74000</v>
      </c>
      <c r="F50" s="103" t="n">
        <v>74000</v>
      </c>
      <c r="G50" s="103" t="n">
        <v>74000</v>
      </c>
      <c r="H50" s="103" t="n">
        <v>74000</v>
      </c>
      <c r="I50" s="103" t="n">
        <v>74000</v>
      </c>
      <c r="J50" s="103" t="n">
        <v>74000</v>
      </c>
      <c r="K50" s="103" t="n">
        <v>74000</v>
      </c>
      <c r="L50" s="103" t="n">
        <v>74000</v>
      </c>
    </row>
    <row r="51" customFormat="false" ht="15" hidden="false" customHeight="false" outlineLevel="0" collapsed="false">
      <c r="A51" s="28" t="s">
        <v>1827</v>
      </c>
      <c r="B51" s="58" t="s">
        <v>1828</v>
      </c>
      <c r="C51" s="59" t="n">
        <f aca="false">SUM(E51:P51)</f>
        <v>15092.11</v>
      </c>
      <c r="E51" s="103" t="n">
        <v>10258.69</v>
      </c>
      <c r="F51" s="103" t="n">
        <v>4833.42</v>
      </c>
      <c r="G51" s="103" t="n">
        <v>0</v>
      </c>
      <c r="H51" s="103" t="n">
        <v>0</v>
      </c>
      <c r="I51" s="103" t="n">
        <v>0</v>
      </c>
      <c r="J51" s="103" t="n">
        <v>0</v>
      </c>
      <c r="K51" s="103" t="n">
        <v>0</v>
      </c>
      <c r="L51" s="103" t="n">
        <v>0</v>
      </c>
    </row>
    <row r="52" customFormat="false" ht="15" hidden="false" customHeight="false" outlineLevel="0" collapsed="false">
      <c r="A52" s="28" t="s">
        <v>1829</v>
      </c>
      <c r="B52" s="58" t="s">
        <v>1790</v>
      </c>
      <c r="C52" s="59" t="n">
        <f aca="false">SUM(E52:P52)</f>
        <v>22200</v>
      </c>
      <c r="E52" s="103" t="n">
        <v>0</v>
      </c>
      <c r="F52" s="103" t="n">
        <v>22200</v>
      </c>
      <c r="G52" s="103" t="n">
        <v>0</v>
      </c>
      <c r="H52" s="103" t="n">
        <v>0</v>
      </c>
      <c r="I52" s="103" t="n">
        <v>0</v>
      </c>
      <c r="J52" s="103" t="n">
        <v>0</v>
      </c>
      <c r="K52" s="103" t="n">
        <v>0</v>
      </c>
      <c r="L52" s="103" t="n">
        <v>0</v>
      </c>
    </row>
    <row r="53" customFormat="false" ht="15" hidden="false" customHeight="false" outlineLevel="0" collapsed="false">
      <c r="A53" s="28" t="s">
        <v>1830</v>
      </c>
      <c r="B53" s="58" t="s">
        <v>1788</v>
      </c>
      <c r="C53" s="66" t="n">
        <f aca="false">SUM(E53:P53)</f>
        <v>693.2</v>
      </c>
      <c r="E53" s="133" t="n">
        <v>255.6</v>
      </c>
      <c r="F53" s="133" t="n">
        <v>228.2</v>
      </c>
      <c r="G53" s="133" t="n">
        <v>150.5</v>
      </c>
      <c r="H53" s="133" t="n">
        <v>58.9</v>
      </c>
      <c r="I53" s="133" t="n">
        <v>0</v>
      </c>
      <c r="J53" s="133" t="n">
        <v>0</v>
      </c>
      <c r="K53" s="133" t="n">
        <v>0</v>
      </c>
      <c r="L53" s="133" t="n">
        <v>0</v>
      </c>
    </row>
    <row r="54" customFormat="false" ht="15" hidden="false" customHeight="false" outlineLevel="0" collapsed="false">
      <c r="A54" s="28" t="s">
        <v>1831</v>
      </c>
      <c r="B54" s="58" t="s">
        <v>1824</v>
      </c>
      <c r="E54" s="133" t="n">
        <v>387.6</v>
      </c>
      <c r="F54" s="133" t="n">
        <v>209.4</v>
      </c>
      <c r="G54" s="133" t="n">
        <v>58.9</v>
      </c>
      <c r="H54" s="133" t="n">
        <v>0</v>
      </c>
      <c r="I54" s="133" t="n">
        <v>0</v>
      </c>
      <c r="J54" s="133" t="n">
        <v>0</v>
      </c>
      <c r="K54" s="133" t="n">
        <v>0</v>
      </c>
      <c r="L54" s="133" t="n">
        <v>0</v>
      </c>
    </row>
    <row r="55" customFormat="false" ht="15" hidden="false" customHeight="false" outlineLevel="0" collapsed="false">
      <c r="A55" s="28" t="s">
        <v>1832</v>
      </c>
      <c r="B55" s="58" t="s">
        <v>1826</v>
      </c>
      <c r="E55" s="103" t="n">
        <v>120000</v>
      </c>
      <c r="F55" s="103" t="n">
        <v>120000</v>
      </c>
      <c r="G55" s="103" t="n">
        <v>120000</v>
      </c>
      <c r="H55" s="103" t="n">
        <v>120000</v>
      </c>
      <c r="I55" s="103" t="n">
        <v>120000</v>
      </c>
      <c r="J55" s="103" t="n">
        <v>120000</v>
      </c>
      <c r="K55" s="103" t="n">
        <v>120000</v>
      </c>
      <c r="L55" s="103" t="n">
        <v>120000</v>
      </c>
    </row>
    <row r="56" customFormat="false" ht="15" hidden="false" customHeight="false" outlineLevel="0" collapsed="false">
      <c r="A56" s="28" t="s">
        <v>1833</v>
      </c>
      <c r="B56" s="58" t="s">
        <v>1828</v>
      </c>
      <c r="C56" s="59" t="n">
        <f aca="false">SUM(E56:P56)</f>
        <v>61747.2</v>
      </c>
      <c r="E56" s="103" t="n">
        <v>24537.6</v>
      </c>
      <c r="F56" s="103" t="n">
        <v>17880.37</v>
      </c>
      <c r="G56" s="103" t="n">
        <v>13892.31</v>
      </c>
      <c r="H56" s="103" t="n">
        <v>5436.92</v>
      </c>
      <c r="I56" s="103" t="n">
        <v>0</v>
      </c>
      <c r="J56" s="103" t="n">
        <v>0</v>
      </c>
      <c r="K56" s="103" t="n">
        <v>0</v>
      </c>
      <c r="L56" s="103" t="n">
        <v>0</v>
      </c>
    </row>
    <row r="57" customFormat="false" ht="15" hidden="false" customHeight="false" outlineLevel="0" collapsed="false">
      <c r="A57" s="28" t="s">
        <v>1834</v>
      </c>
      <c r="B57" s="58" t="s">
        <v>1790</v>
      </c>
      <c r="C57" s="59" t="n">
        <f aca="false">SUM(E57:P57)</f>
        <v>84000</v>
      </c>
      <c r="E57" s="103" t="n">
        <v>48000</v>
      </c>
      <c r="F57" s="103" t="n">
        <v>0</v>
      </c>
      <c r="G57" s="103" t="n">
        <v>0</v>
      </c>
      <c r="H57" s="103" t="n">
        <v>36000</v>
      </c>
      <c r="I57" s="103" t="n">
        <v>0</v>
      </c>
      <c r="J57" s="103" t="n">
        <v>0</v>
      </c>
      <c r="K57" s="103" t="n">
        <v>0</v>
      </c>
      <c r="L57" s="103" t="n">
        <v>0</v>
      </c>
    </row>
    <row r="58" customFormat="false" ht="15" hidden="false" customHeight="false" outlineLevel="0" collapsed="false">
      <c r="A58" s="28" t="s">
        <v>1835</v>
      </c>
      <c r="B58" s="58" t="s">
        <v>1788</v>
      </c>
      <c r="C58" s="66" t="n">
        <f aca="false">SUM(E58:P58)</f>
        <v>494.2</v>
      </c>
      <c r="E58" s="133" t="n">
        <v>246.3</v>
      </c>
      <c r="F58" s="133" t="n">
        <v>156.6</v>
      </c>
      <c r="G58" s="133" t="n">
        <v>91.3</v>
      </c>
      <c r="H58" s="133" t="n">
        <v>0</v>
      </c>
      <c r="I58" s="133" t="n">
        <v>0</v>
      </c>
      <c r="J58" s="133" t="n">
        <v>0</v>
      </c>
      <c r="K58" s="133" t="n">
        <v>0</v>
      </c>
      <c r="L58" s="133" t="n">
        <v>0</v>
      </c>
    </row>
    <row r="59" customFormat="false" ht="15" hidden="false" customHeight="false" outlineLevel="0" collapsed="false">
      <c r="A59" s="28" t="s">
        <v>1836</v>
      </c>
      <c r="B59" s="58" t="s">
        <v>1824</v>
      </c>
      <c r="E59" s="133" t="n">
        <v>247.9</v>
      </c>
      <c r="F59" s="133" t="n">
        <v>91.3</v>
      </c>
      <c r="G59" s="133" t="n">
        <v>0</v>
      </c>
      <c r="H59" s="133" t="n">
        <v>0</v>
      </c>
      <c r="I59" s="133" t="n">
        <v>0</v>
      </c>
      <c r="J59" s="133" t="n">
        <v>0</v>
      </c>
      <c r="K59" s="133" t="n">
        <v>0</v>
      </c>
      <c r="L59" s="133" t="n">
        <v>0</v>
      </c>
    </row>
    <row r="60" customFormat="false" ht="15" hidden="false" customHeight="false" outlineLevel="0" collapsed="false">
      <c r="A60" s="28" t="s">
        <v>1837</v>
      </c>
      <c r="B60" s="58" t="s">
        <v>1826</v>
      </c>
      <c r="E60" s="103" t="n">
        <v>95000</v>
      </c>
      <c r="F60" s="103" t="n">
        <v>95000</v>
      </c>
      <c r="G60" s="103" t="n">
        <v>95000</v>
      </c>
      <c r="H60" s="103" t="n">
        <v>95000</v>
      </c>
      <c r="I60" s="103" t="n">
        <v>95000</v>
      </c>
      <c r="J60" s="103" t="n">
        <v>95000</v>
      </c>
      <c r="K60" s="103" t="n">
        <v>95000</v>
      </c>
      <c r="L60" s="103" t="n">
        <v>95000</v>
      </c>
    </row>
    <row r="61" customFormat="false" ht="15" hidden="false" customHeight="false" outlineLevel="0" collapsed="false">
      <c r="A61" s="28" t="s">
        <v>1838</v>
      </c>
      <c r="B61" s="58" t="s">
        <v>1828</v>
      </c>
      <c r="C61" s="59" t="n">
        <f aca="false">SUM(E61:P61)</f>
        <v>46949</v>
      </c>
      <c r="E61" s="103" t="n">
        <v>23398.5</v>
      </c>
      <c r="F61" s="103" t="n">
        <v>14877</v>
      </c>
      <c r="G61" s="103" t="n">
        <v>8673.5</v>
      </c>
      <c r="H61" s="103" t="n">
        <v>0</v>
      </c>
      <c r="I61" s="103" t="n">
        <v>0</v>
      </c>
      <c r="J61" s="103" t="n">
        <v>0</v>
      </c>
      <c r="K61" s="103" t="n">
        <v>0</v>
      </c>
      <c r="L61" s="103" t="n">
        <v>0</v>
      </c>
    </row>
    <row r="62" customFormat="false" ht="15" hidden="false" customHeight="false" outlineLevel="0" collapsed="false">
      <c r="A62" s="28" t="s">
        <v>1839</v>
      </c>
      <c r="B62" s="58" t="s">
        <v>1790</v>
      </c>
      <c r="C62" s="59" t="n">
        <f aca="false">SUM(E62:P62)</f>
        <v>66500</v>
      </c>
      <c r="E62" s="103" t="n">
        <v>38000</v>
      </c>
      <c r="F62" s="103" t="n">
        <v>0</v>
      </c>
      <c r="G62" s="103" t="n">
        <v>28500</v>
      </c>
      <c r="H62" s="103" t="n">
        <v>0</v>
      </c>
      <c r="I62" s="103" t="n">
        <v>0</v>
      </c>
      <c r="J62" s="103" t="n">
        <v>0</v>
      </c>
      <c r="K62" s="103" t="n">
        <v>0</v>
      </c>
      <c r="L62" s="103" t="n">
        <v>0</v>
      </c>
    </row>
    <row r="63" customFormat="false" ht="15" hidden="false" customHeight="false" outlineLevel="0" collapsed="false">
      <c r="A63" s="28" t="s">
        <v>1840</v>
      </c>
      <c r="B63" s="58" t="s">
        <v>1788</v>
      </c>
      <c r="C63" s="66" t="n">
        <f aca="false">SUM(E63:P63)</f>
        <v>2487.3</v>
      </c>
      <c r="E63" s="133" t="n">
        <v>0</v>
      </c>
      <c r="F63" s="133" t="n">
        <v>74.8</v>
      </c>
      <c r="G63" s="133" t="n">
        <v>229.1</v>
      </c>
      <c r="H63" s="133" t="n">
        <v>313.3</v>
      </c>
      <c r="I63" s="133" t="n">
        <v>455.4</v>
      </c>
      <c r="J63" s="133" t="n">
        <v>504.2</v>
      </c>
      <c r="K63" s="133" t="n">
        <v>476.8</v>
      </c>
      <c r="L63" s="133" t="n">
        <v>433.7</v>
      </c>
    </row>
    <row r="64" customFormat="false" ht="15" hidden="false" customHeight="false" outlineLevel="0" collapsed="false">
      <c r="A64" s="28" t="s">
        <v>1841</v>
      </c>
      <c r="B64" s="58" t="s">
        <v>1824</v>
      </c>
      <c r="F64" s="133" t="n">
        <v>2225.2</v>
      </c>
      <c r="G64" s="133" t="n">
        <v>1996.1</v>
      </c>
      <c r="H64" s="133" t="n">
        <v>1682.8</v>
      </c>
      <c r="I64" s="133" t="n">
        <v>1527.4</v>
      </c>
      <c r="J64" s="133" t="n">
        <v>1173.2</v>
      </c>
      <c r="K64" s="133" t="n">
        <v>846.4</v>
      </c>
      <c r="L64" s="133" t="n">
        <v>462.7</v>
      </c>
    </row>
    <row r="65" customFormat="false" ht="15" hidden="false" customHeight="false" outlineLevel="0" collapsed="false">
      <c r="A65" s="28" t="s">
        <v>1842</v>
      </c>
      <c r="B65" s="58" t="s">
        <v>1826</v>
      </c>
      <c r="F65" s="103" t="n">
        <v>210000</v>
      </c>
      <c r="G65" s="103" t="n">
        <v>210000</v>
      </c>
      <c r="H65" s="103" t="n">
        <v>210000</v>
      </c>
      <c r="I65" s="103" t="n">
        <v>226500</v>
      </c>
      <c r="J65" s="103" t="n">
        <v>226500</v>
      </c>
      <c r="K65" s="103" t="n">
        <v>226500</v>
      </c>
      <c r="L65" s="103" t="n">
        <v>226500</v>
      </c>
    </row>
    <row r="66" customFormat="false" ht="15" hidden="false" customHeight="false" outlineLevel="0" collapsed="false">
      <c r="A66" s="28" t="s">
        <v>1843</v>
      </c>
      <c r="B66" s="58" t="s">
        <v>1828</v>
      </c>
      <c r="C66" s="59" t="n">
        <f aca="false">SUM(E66:P66)</f>
        <v>190974.05</v>
      </c>
      <c r="E66" s="103" t="n">
        <v>0</v>
      </c>
      <c r="F66" s="103" t="n">
        <v>6829.57</v>
      </c>
      <c r="G66" s="103" t="n">
        <v>20917.82</v>
      </c>
      <c r="H66" s="103" t="n">
        <v>28605.65</v>
      </c>
      <c r="I66" s="103" t="n">
        <v>37086.92</v>
      </c>
      <c r="J66" s="103" t="n">
        <v>36431.02</v>
      </c>
      <c r="K66" s="103" t="n">
        <v>30522.26</v>
      </c>
      <c r="L66" s="103" t="n">
        <v>30580.81</v>
      </c>
    </row>
    <row r="67" customFormat="false" ht="15" hidden="false" customHeight="false" outlineLevel="0" collapsed="false">
      <c r="A67" s="28" t="s">
        <v>1844</v>
      </c>
      <c r="B67" s="58" t="s">
        <v>1790</v>
      </c>
      <c r="C67" s="59" t="n">
        <f aca="false">SUM(E67:P67)</f>
        <v>147000</v>
      </c>
      <c r="E67" s="103" t="n">
        <v>0</v>
      </c>
      <c r="F67" s="103" t="n">
        <v>63000</v>
      </c>
      <c r="G67" s="103" t="n">
        <v>0</v>
      </c>
      <c r="H67" s="103" t="n">
        <v>0</v>
      </c>
      <c r="I67" s="103" t="n">
        <v>16500</v>
      </c>
      <c r="J67" s="103" t="n">
        <v>67500</v>
      </c>
      <c r="K67" s="103" t="n">
        <v>0</v>
      </c>
      <c r="L67" s="103" t="n">
        <v>0</v>
      </c>
    </row>
    <row r="68" customFormat="false" ht="15" hidden="false" customHeight="false" outlineLevel="0" collapsed="false">
      <c r="A68" s="28" t="s">
        <v>1845</v>
      </c>
      <c r="B68" s="58" t="s">
        <v>1788</v>
      </c>
      <c r="C68" s="66" t="n">
        <f aca="false">SUM(E68:P68)</f>
        <v>1409.6</v>
      </c>
      <c r="E68" s="133" t="n">
        <v>0</v>
      </c>
      <c r="F68" s="133" t="n">
        <v>0</v>
      </c>
      <c r="G68" s="133" t="n">
        <v>78.3</v>
      </c>
      <c r="H68" s="133" t="n">
        <v>213.1</v>
      </c>
      <c r="I68" s="133" t="n">
        <v>292.9</v>
      </c>
      <c r="J68" s="133" t="n">
        <v>358.3</v>
      </c>
      <c r="K68" s="133" t="n">
        <v>302.7</v>
      </c>
      <c r="L68" s="133" t="n">
        <v>164.3</v>
      </c>
    </row>
    <row r="69" customFormat="false" ht="15" hidden="false" customHeight="false" outlineLevel="0" collapsed="false">
      <c r="A69" s="28" t="s">
        <v>1846</v>
      </c>
      <c r="B69" s="58" t="s">
        <v>1824</v>
      </c>
      <c r="G69" s="133" t="n">
        <v>1371.7</v>
      </c>
      <c r="H69" s="133" t="n">
        <v>1158.6</v>
      </c>
      <c r="I69" s="133" t="n">
        <v>865.7</v>
      </c>
      <c r="J69" s="133" t="n">
        <v>557.4</v>
      </c>
      <c r="K69" s="133" t="n">
        <v>254.7</v>
      </c>
      <c r="L69" s="133" t="n">
        <v>90.4</v>
      </c>
    </row>
    <row r="70" customFormat="false" ht="15" hidden="false" customHeight="false" outlineLevel="0" collapsed="false">
      <c r="A70" s="28" t="s">
        <v>1847</v>
      </c>
      <c r="B70" s="58" t="s">
        <v>1826</v>
      </c>
      <c r="G70" s="103" t="n">
        <v>145000</v>
      </c>
      <c r="H70" s="103" t="n">
        <v>145000</v>
      </c>
      <c r="I70" s="103" t="n">
        <v>145000</v>
      </c>
      <c r="J70" s="103" t="n">
        <v>145000</v>
      </c>
      <c r="K70" s="103" t="n">
        <v>145000</v>
      </c>
      <c r="L70" s="103" t="n">
        <v>145000</v>
      </c>
    </row>
    <row r="71" customFormat="false" ht="15" hidden="false" customHeight="false" outlineLevel="0" collapsed="false">
      <c r="A71" s="28" t="s">
        <v>1848</v>
      </c>
      <c r="B71" s="58" t="s">
        <v>1828</v>
      </c>
      <c r="C71" s="59" t="n">
        <f aca="false">SUM(E71:P71)</f>
        <v>136261.33</v>
      </c>
      <c r="E71" s="103" t="n">
        <v>0</v>
      </c>
      <c r="F71" s="103" t="n">
        <v>0</v>
      </c>
      <c r="G71" s="103" t="n">
        <v>7830</v>
      </c>
      <c r="H71" s="103" t="n">
        <v>21310</v>
      </c>
      <c r="I71" s="103" t="n">
        <v>29290</v>
      </c>
      <c r="J71" s="103" t="n">
        <v>32688</v>
      </c>
      <c r="K71" s="103" t="n">
        <v>29261</v>
      </c>
      <c r="L71" s="103" t="n">
        <v>15882.33</v>
      </c>
    </row>
    <row r="72" customFormat="false" ht="15" hidden="false" customHeight="false" outlineLevel="0" collapsed="false">
      <c r="A72" s="28" t="s">
        <v>1849</v>
      </c>
      <c r="B72" s="58" t="s">
        <v>1790</v>
      </c>
      <c r="C72" s="59" t="n">
        <f aca="false">SUM(E72:P72)</f>
        <v>101500</v>
      </c>
      <c r="E72" s="103" t="n">
        <v>0</v>
      </c>
      <c r="F72" s="103" t="n">
        <v>0</v>
      </c>
      <c r="G72" s="103" t="n">
        <v>43500</v>
      </c>
      <c r="H72" s="103" t="n">
        <v>0</v>
      </c>
      <c r="I72" s="103" t="n">
        <v>0</v>
      </c>
      <c r="J72" s="103" t="n">
        <v>58000</v>
      </c>
      <c r="K72" s="103" t="n">
        <v>0</v>
      </c>
      <c r="L72" s="103" t="n">
        <v>0</v>
      </c>
    </row>
    <row r="73" customFormat="false" ht="15" hidden="false" customHeight="false" outlineLevel="0" collapsed="false">
      <c r="A73" s="28" t="s">
        <v>1850</v>
      </c>
      <c r="B73" s="58" t="s">
        <v>1788</v>
      </c>
      <c r="C73" s="66" t="n">
        <f aca="false">SUM(E73:P73)</f>
        <v>721.6</v>
      </c>
      <c r="E73" s="133" t="n">
        <v>0</v>
      </c>
      <c r="F73" s="133" t="n">
        <v>0</v>
      </c>
      <c r="G73" s="133" t="n">
        <v>0</v>
      </c>
      <c r="H73" s="133" t="n">
        <v>0</v>
      </c>
      <c r="I73" s="133" t="n">
        <v>70.7</v>
      </c>
      <c r="J73" s="133" t="n">
        <v>181.2</v>
      </c>
      <c r="K73" s="133" t="n">
        <v>198.1</v>
      </c>
      <c r="L73" s="133" t="n">
        <v>271.6</v>
      </c>
    </row>
    <row r="74" customFormat="false" ht="15" hidden="false" customHeight="false" outlineLevel="0" collapsed="false">
      <c r="A74" s="28" t="s">
        <v>1851</v>
      </c>
      <c r="B74" s="58" t="s">
        <v>1824</v>
      </c>
      <c r="I74" s="133" t="n">
        <v>889.3</v>
      </c>
      <c r="J74" s="133" t="n">
        <v>708.1</v>
      </c>
      <c r="K74" s="133" t="n">
        <v>510</v>
      </c>
      <c r="L74" s="133" t="n">
        <v>268.4</v>
      </c>
    </row>
    <row r="75" customFormat="false" ht="15" hidden="false" customHeight="false" outlineLevel="0" collapsed="false">
      <c r="A75" s="28" t="s">
        <v>1852</v>
      </c>
      <c r="B75" s="58" t="s">
        <v>1826</v>
      </c>
      <c r="I75" s="103" t="n">
        <v>96000</v>
      </c>
      <c r="J75" s="103" t="n">
        <v>96000</v>
      </c>
      <c r="K75" s="103" t="n">
        <v>96000</v>
      </c>
      <c r="L75" s="103" t="n">
        <v>96000</v>
      </c>
    </row>
    <row r="76" customFormat="false" ht="15" hidden="false" customHeight="false" outlineLevel="0" collapsed="false">
      <c r="A76" s="28" t="s">
        <v>1853</v>
      </c>
      <c r="B76" s="58" t="s">
        <v>1828</v>
      </c>
      <c r="C76" s="59" t="n">
        <f aca="false">SUM(E76:P76)</f>
        <v>69973.33</v>
      </c>
      <c r="E76" s="103" t="n">
        <v>0</v>
      </c>
      <c r="F76" s="103" t="n">
        <v>0</v>
      </c>
      <c r="G76" s="103" t="n">
        <v>0</v>
      </c>
      <c r="H76" s="103" t="n">
        <v>0</v>
      </c>
      <c r="I76" s="103" t="n">
        <v>7070</v>
      </c>
      <c r="J76" s="103" t="n">
        <v>18120</v>
      </c>
      <c r="K76" s="103" t="n">
        <v>19810</v>
      </c>
      <c r="L76" s="103" t="n">
        <v>24973.33</v>
      </c>
    </row>
    <row r="77" customFormat="false" ht="15" hidden="false" customHeight="false" outlineLevel="0" collapsed="false">
      <c r="A77" s="28" t="s">
        <v>1854</v>
      </c>
      <c r="B77" s="58" t="s">
        <v>1790</v>
      </c>
      <c r="C77" s="59" t="n">
        <f aca="false">SUM(E77:P77)</f>
        <v>67200</v>
      </c>
      <c r="E77" s="103" t="n">
        <v>0</v>
      </c>
      <c r="F77" s="103" t="n">
        <v>0</v>
      </c>
      <c r="G77" s="103" t="n">
        <v>0</v>
      </c>
      <c r="H77" s="103" t="n">
        <v>0</v>
      </c>
      <c r="I77" s="103" t="n">
        <v>28800</v>
      </c>
      <c r="J77" s="103" t="n">
        <v>0</v>
      </c>
      <c r="K77" s="103" t="n">
        <v>0</v>
      </c>
      <c r="L77" s="103" t="n">
        <v>38400</v>
      </c>
    </row>
    <row r="78" customFormat="false" ht="15" hidden="false" customHeight="false" outlineLevel="0" collapsed="false">
      <c r="A78" s="28" t="s">
        <v>1855</v>
      </c>
      <c r="B78" s="58" t="s">
        <v>1788</v>
      </c>
      <c r="C78" s="66" t="n">
        <f aca="false">SUM(E78:P78)</f>
        <v>275.4</v>
      </c>
      <c r="E78" s="133" t="n">
        <v>0</v>
      </c>
      <c r="F78" s="133" t="n">
        <v>0</v>
      </c>
      <c r="G78" s="133" t="n">
        <v>0</v>
      </c>
      <c r="H78" s="133" t="n">
        <v>0</v>
      </c>
      <c r="I78" s="133" t="n">
        <v>0</v>
      </c>
      <c r="J78" s="133" t="n">
        <v>42.2</v>
      </c>
      <c r="K78" s="133" t="n">
        <v>103.6</v>
      </c>
      <c r="L78" s="133" t="n">
        <v>129.6</v>
      </c>
    </row>
    <row r="79" customFormat="false" ht="15" hidden="false" customHeight="false" outlineLevel="0" collapsed="false">
      <c r="A79" s="28" t="s">
        <v>1856</v>
      </c>
      <c r="B79" s="58" t="s">
        <v>1824</v>
      </c>
      <c r="J79" s="133" t="n">
        <v>517.8</v>
      </c>
      <c r="K79" s="133" t="n">
        <v>414.2</v>
      </c>
      <c r="L79" s="133" t="n">
        <v>284.6</v>
      </c>
    </row>
    <row r="80" customFormat="false" ht="15" hidden="false" customHeight="false" outlineLevel="0" collapsed="false">
      <c r="A80" s="28" t="s">
        <v>1857</v>
      </c>
      <c r="B80" s="58" t="s">
        <v>1826</v>
      </c>
      <c r="J80" s="103" t="n">
        <v>56000</v>
      </c>
      <c r="K80" s="103" t="n">
        <v>56000</v>
      </c>
      <c r="L80" s="103" t="n">
        <v>56000</v>
      </c>
    </row>
    <row r="81" customFormat="false" ht="15" hidden="false" customHeight="false" outlineLevel="0" collapsed="false">
      <c r="A81" s="28" t="s">
        <v>1858</v>
      </c>
      <c r="B81" s="58" t="s">
        <v>1828</v>
      </c>
      <c r="C81" s="59" t="n">
        <f aca="false">SUM(E81:P81)</f>
        <v>27540</v>
      </c>
      <c r="E81" s="103" t="n">
        <v>0</v>
      </c>
      <c r="F81" s="103" t="n">
        <v>0</v>
      </c>
      <c r="G81" s="103" t="n">
        <v>0</v>
      </c>
      <c r="H81" s="103" t="n">
        <v>0</v>
      </c>
      <c r="I81" s="103" t="n">
        <v>0</v>
      </c>
      <c r="J81" s="103" t="n">
        <v>4220</v>
      </c>
      <c r="K81" s="103" t="n">
        <v>10360</v>
      </c>
      <c r="L81" s="103" t="n">
        <v>12960</v>
      </c>
    </row>
    <row r="82" customFormat="false" ht="15" hidden="false" customHeight="false" outlineLevel="0" collapsed="false">
      <c r="A82" s="28" t="s">
        <v>1859</v>
      </c>
      <c r="B82" s="58" t="s">
        <v>1790</v>
      </c>
      <c r="C82" s="59" t="n">
        <f aca="false">SUM(E82:P82)</f>
        <v>16800</v>
      </c>
      <c r="E82" s="103" t="n">
        <v>0</v>
      </c>
      <c r="F82" s="103" t="n">
        <v>0</v>
      </c>
      <c r="G82" s="103" t="n">
        <v>0</v>
      </c>
      <c r="H82" s="103" t="n">
        <v>0</v>
      </c>
      <c r="I82" s="103" t="n">
        <v>0</v>
      </c>
      <c r="J82" s="103" t="n">
        <v>16800</v>
      </c>
      <c r="K82" s="103" t="n">
        <v>0</v>
      </c>
      <c r="L82" s="103" t="n">
        <v>0</v>
      </c>
    </row>
    <row r="83" customFormat="false" ht="15" hidden="false" customHeight="false" outlineLevel="0" collapsed="false">
      <c r="A83" s="28" t="s">
        <v>1860</v>
      </c>
      <c r="B83" s="58" t="s">
        <v>1861</v>
      </c>
      <c r="C83" s="59" t="n">
        <f aca="false">SUM(E83:P83)</f>
        <v>9800</v>
      </c>
      <c r="E83" s="103" t="n">
        <v>0</v>
      </c>
      <c r="F83" s="103" t="n">
        <v>0</v>
      </c>
      <c r="G83" s="103" t="n">
        <v>0</v>
      </c>
      <c r="H83" s="103" t="n">
        <v>0</v>
      </c>
      <c r="I83" s="103" t="n">
        <v>0</v>
      </c>
      <c r="J83" s="103" t="n">
        <v>0</v>
      </c>
      <c r="K83" s="103" t="n">
        <v>4200</v>
      </c>
      <c r="L83" s="103" t="n">
        <v>5600</v>
      </c>
    </row>
    <row r="84" customFormat="false" ht="15" hidden="false" customHeight="false" outlineLevel="0" collapsed="false">
      <c r="A84" s="28" t="s">
        <v>1862</v>
      </c>
      <c r="B84" s="58" t="s">
        <v>1788</v>
      </c>
      <c r="C84" s="66" t="n">
        <f aca="false">SUM(E84:P84)</f>
        <v>281.9</v>
      </c>
      <c r="E84" s="133" t="n">
        <v>0</v>
      </c>
      <c r="F84" s="133" t="n">
        <v>0</v>
      </c>
      <c r="G84" s="133" t="n">
        <v>0</v>
      </c>
      <c r="H84" s="133" t="n">
        <v>0</v>
      </c>
      <c r="I84" s="133" t="n">
        <v>0</v>
      </c>
      <c r="J84" s="133" t="n">
        <v>0</v>
      </c>
      <c r="K84" s="133" t="n">
        <v>77.5</v>
      </c>
      <c r="L84" s="133" t="n">
        <v>204.4</v>
      </c>
    </row>
    <row r="85" customFormat="false" ht="15" hidden="false" customHeight="false" outlineLevel="0" collapsed="false">
      <c r="A85" s="28" t="s">
        <v>1863</v>
      </c>
      <c r="B85" s="58" t="s">
        <v>1824</v>
      </c>
      <c r="K85" s="133" t="n">
        <v>722.5</v>
      </c>
      <c r="L85" s="133" t="n">
        <v>518.1</v>
      </c>
    </row>
    <row r="86" customFormat="false" ht="15" hidden="false" customHeight="false" outlineLevel="0" collapsed="false">
      <c r="A86" s="28" t="s">
        <v>1864</v>
      </c>
      <c r="B86" s="58" t="s">
        <v>1826</v>
      </c>
      <c r="K86" s="103" t="n">
        <v>85000</v>
      </c>
      <c r="L86" s="103" t="n">
        <v>85000</v>
      </c>
    </row>
    <row r="87" customFormat="false" ht="15" hidden="false" customHeight="false" outlineLevel="0" collapsed="false">
      <c r="A87" s="28" t="s">
        <v>1865</v>
      </c>
      <c r="B87" s="58" t="s">
        <v>1828</v>
      </c>
      <c r="C87" s="59" t="n">
        <f aca="false">SUM(E87:P87)</f>
        <v>29951.88</v>
      </c>
      <c r="E87" s="103" t="n">
        <v>0</v>
      </c>
      <c r="F87" s="103" t="n">
        <v>0</v>
      </c>
      <c r="G87" s="103" t="n">
        <v>0</v>
      </c>
      <c r="H87" s="103" t="n">
        <v>0</v>
      </c>
      <c r="I87" s="103" t="n">
        <v>0</v>
      </c>
      <c r="J87" s="103" t="n">
        <v>0</v>
      </c>
      <c r="K87" s="103" t="n">
        <v>8234.38</v>
      </c>
      <c r="L87" s="103" t="n">
        <v>21717.5</v>
      </c>
    </row>
    <row r="88" customFormat="false" ht="15" hidden="false" customHeight="false" outlineLevel="0" collapsed="false">
      <c r="A88" s="28" t="s">
        <v>1866</v>
      </c>
      <c r="B88" s="58" t="s">
        <v>1790</v>
      </c>
      <c r="C88" s="59" t="n">
        <f aca="false">SUM(E88:P88)</f>
        <v>25500</v>
      </c>
      <c r="E88" s="103" t="n">
        <v>0</v>
      </c>
      <c r="F88" s="103" t="n">
        <v>0</v>
      </c>
      <c r="G88" s="103" t="n">
        <v>0</v>
      </c>
      <c r="H88" s="103" t="n">
        <v>0</v>
      </c>
      <c r="I88" s="103" t="n">
        <v>0</v>
      </c>
      <c r="J88" s="103" t="n">
        <v>0</v>
      </c>
      <c r="K88" s="103" t="n">
        <v>25500</v>
      </c>
      <c r="L88" s="103" t="n">
        <v>0</v>
      </c>
    </row>
    <row r="89" customFormat="false" ht="15" hidden="false" customHeight="false" outlineLevel="0" collapsed="false">
      <c r="A89" s="22" t="s">
        <v>1867</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row>
    <row r="90" customFormat="false" ht="15" hidden="false" customHeight="false" outlineLevel="0" collapsed="false">
      <c r="A90" s="28" t="s">
        <v>1868</v>
      </c>
      <c r="B90" s="58" t="s">
        <v>1788</v>
      </c>
      <c r="C90" s="66" t="n">
        <f aca="false">SUM(E90:P90)</f>
        <v>1732.4</v>
      </c>
      <c r="E90" s="133" t="n">
        <v>257.5</v>
      </c>
      <c r="F90" s="133" t="n">
        <v>224.5</v>
      </c>
      <c r="G90" s="133" t="n">
        <v>222.5</v>
      </c>
      <c r="H90" s="133" t="n">
        <v>190.7</v>
      </c>
      <c r="I90" s="133" t="n">
        <v>206.7</v>
      </c>
      <c r="J90" s="133" t="n">
        <v>215.2</v>
      </c>
      <c r="K90" s="133" t="n">
        <v>169</v>
      </c>
      <c r="L90" s="133" t="n">
        <v>246.3</v>
      </c>
    </row>
    <row r="91" customFormat="false" ht="15" hidden="false" customHeight="false" outlineLevel="0" collapsed="false">
      <c r="A91" s="28" t="s">
        <v>1869</v>
      </c>
      <c r="B91" s="58" t="s">
        <v>1786</v>
      </c>
      <c r="C91" s="59" t="n">
        <f aca="false">SUM(E91:P91)</f>
        <v>139474.12</v>
      </c>
      <c r="E91" s="103" t="n">
        <v>20552.13</v>
      </c>
      <c r="F91" s="103" t="n">
        <v>18117.63</v>
      </c>
      <c r="G91" s="103" t="n">
        <v>18587.41</v>
      </c>
      <c r="H91" s="103" t="n">
        <v>14873.54</v>
      </c>
      <c r="I91" s="103" t="n">
        <v>16332.79</v>
      </c>
      <c r="J91" s="103" t="n">
        <v>17728.04</v>
      </c>
      <c r="K91" s="103" t="n">
        <v>13661.98</v>
      </c>
      <c r="L91" s="103" t="n">
        <v>19620.6</v>
      </c>
    </row>
    <row r="92" customFormat="false" ht="15" hidden="false" customHeight="false" outlineLevel="0" collapsed="false">
      <c r="A92" s="28" t="s">
        <v>1870</v>
      </c>
      <c r="B92" s="58" t="s">
        <v>1790</v>
      </c>
      <c r="C92" s="59" t="n">
        <f aca="false">SUM(E92:P92)</f>
        <v>134048.91</v>
      </c>
      <c r="E92" s="103" t="n">
        <v>14195.39</v>
      </c>
      <c r="F92" s="103" t="n">
        <v>20552.13</v>
      </c>
      <c r="G92" s="103" t="n">
        <v>18117.63</v>
      </c>
      <c r="H92" s="103" t="n">
        <v>18587.41</v>
      </c>
      <c r="I92" s="103" t="n">
        <v>14873.54</v>
      </c>
      <c r="J92" s="103" t="n">
        <v>16332.79</v>
      </c>
      <c r="K92" s="103" t="n">
        <v>17728.04</v>
      </c>
      <c r="L92" s="103" t="n">
        <v>13661.98</v>
      </c>
    </row>
    <row r="93" customFormat="false" ht="15" hidden="false" customHeight="false" outlineLevel="0" collapsed="false">
      <c r="A93" s="28" t="s">
        <v>1871</v>
      </c>
      <c r="B93" s="58" t="s">
        <v>1788</v>
      </c>
      <c r="C93" s="66" t="n">
        <f aca="false">SUM(E93:P93)</f>
        <v>529.1</v>
      </c>
      <c r="E93" s="133" t="n">
        <v>0</v>
      </c>
      <c r="F93" s="133" t="n">
        <v>0</v>
      </c>
      <c r="G93" s="133" t="n">
        <v>96.2</v>
      </c>
      <c r="H93" s="133" t="n">
        <v>91.5</v>
      </c>
      <c r="I93" s="133" t="n">
        <v>99.9</v>
      </c>
      <c r="J93" s="133" t="n">
        <v>86.4</v>
      </c>
      <c r="K93" s="133" t="n">
        <v>64.5</v>
      </c>
      <c r="L93" s="133" t="n">
        <v>90.6</v>
      </c>
    </row>
    <row r="94" customFormat="false" ht="15" hidden="false" customHeight="false" outlineLevel="0" collapsed="false">
      <c r="A94" s="28" t="s">
        <v>1872</v>
      </c>
      <c r="B94" s="58" t="s">
        <v>1786</v>
      </c>
      <c r="C94" s="59" t="n">
        <f aca="false">SUM(E94:P94)</f>
        <v>48915.6</v>
      </c>
      <c r="E94" s="103" t="n">
        <v>0</v>
      </c>
      <c r="F94" s="103" t="n">
        <v>0</v>
      </c>
      <c r="G94" s="103" t="n">
        <v>8708.37</v>
      </c>
      <c r="H94" s="103" t="n">
        <v>8391.83</v>
      </c>
      <c r="I94" s="103" t="n">
        <v>9298.68</v>
      </c>
      <c r="J94" s="103" t="n">
        <v>8274.35</v>
      </c>
      <c r="K94" s="103" t="n">
        <v>5927.88</v>
      </c>
      <c r="L94" s="103" t="n">
        <v>8314.49</v>
      </c>
    </row>
    <row r="95" customFormat="false" ht="15" hidden="false" customHeight="false" outlineLevel="0" collapsed="false">
      <c r="A95" s="28" t="s">
        <v>1873</v>
      </c>
      <c r="B95" s="58" t="s">
        <v>1790</v>
      </c>
      <c r="C95" s="59" t="n">
        <f aca="false">SUM(E95:P95)</f>
        <v>40601.11</v>
      </c>
      <c r="E95" s="103" t="n">
        <v>0</v>
      </c>
      <c r="F95" s="103" t="n">
        <v>0</v>
      </c>
      <c r="G95" s="103" t="n">
        <v>0</v>
      </c>
      <c r="H95" s="103" t="n">
        <v>8708.37</v>
      </c>
      <c r="I95" s="103" t="n">
        <v>8391.83</v>
      </c>
      <c r="J95" s="103" t="n">
        <v>9298.68</v>
      </c>
      <c r="K95" s="103" t="n">
        <v>8274.35</v>
      </c>
      <c r="L95" s="103" t="n">
        <v>5927.88</v>
      </c>
    </row>
    <row r="96" customFormat="false" ht="15" hidden="false" customHeight="false" outlineLevel="0" collapsed="false">
      <c r="A96" s="28" t="s">
        <v>1874</v>
      </c>
      <c r="B96" s="58" t="s">
        <v>1788</v>
      </c>
      <c r="C96" s="66" t="n">
        <f aca="false">SUM(E96:P96)</f>
        <v>0</v>
      </c>
      <c r="E96" s="133" t="n">
        <v>0</v>
      </c>
      <c r="F96" s="133" t="n">
        <v>0</v>
      </c>
      <c r="G96" s="133" t="n">
        <v>0</v>
      </c>
      <c r="H96" s="133" t="n">
        <v>0</v>
      </c>
      <c r="I96" s="133" t="n">
        <v>0</v>
      </c>
      <c r="J96" s="133" t="n">
        <v>0</v>
      </c>
      <c r="K96" s="133" t="n">
        <v>0</v>
      </c>
      <c r="L96" s="133" t="n">
        <v>0</v>
      </c>
    </row>
    <row r="97" customFormat="false" ht="15" hidden="false" customHeight="false" outlineLevel="0" collapsed="false">
      <c r="A97" s="28" t="s">
        <v>1875</v>
      </c>
      <c r="B97" s="58" t="s">
        <v>1786</v>
      </c>
      <c r="C97" s="59" t="n">
        <f aca="false">SUM(E97:P97)</f>
        <v>0</v>
      </c>
      <c r="E97" s="103" t="n">
        <v>0</v>
      </c>
      <c r="F97" s="103" t="n">
        <v>0</v>
      </c>
      <c r="G97" s="103" t="n">
        <v>0</v>
      </c>
      <c r="H97" s="103" t="n">
        <v>0</v>
      </c>
      <c r="I97" s="103" t="n">
        <v>0</v>
      </c>
      <c r="J97" s="103" t="n">
        <v>0</v>
      </c>
      <c r="K97" s="103" t="n">
        <v>0</v>
      </c>
      <c r="L97" s="103" t="n">
        <v>0</v>
      </c>
    </row>
    <row r="98" customFormat="false" ht="15" hidden="false" customHeight="false" outlineLevel="0" collapsed="false">
      <c r="A98" s="28" t="s">
        <v>1876</v>
      </c>
      <c r="B98" s="58" t="s">
        <v>1790</v>
      </c>
      <c r="C98" s="59" t="n">
        <f aca="false">SUM(E98:P98)</f>
        <v>0</v>
      </c>
      <c r="E98" s="103" t="n">
        <v>0</v>
      </c>
      <c r="F98" s="103" t="n">
        <v>0</v>
      </c>
      <c r="G98" s="103" t="n">
        <v>0</v>
      </c>
      <c r="H98" s="103" t="n">
        <v>0</v>
      </c>
      <c r="I98" s="103" t="n">
        <v>0</v>
      </c>
      <c r="J98" s="103" t="n">
        <v>0</v>
      </c>
      <c r="K98" s="103" t="n">
        <v>0</v>
      </c>
      <c r="L98" s="103" t="n">
        <v>0</v>
      </c>
    </row>
    <row r="99" customFormat="false" ht="15" hidden="false" customHeight="false" outlineLevel="0" collapsed="false">
      <c r="A99" s="28" t="s">
        <v>1877</v>
      </c>
      <c r="B99" s="58" t="s">
        <v>1788</v>
      </c>
      <c r="C99" s="66" t="n">
        <f aca="false">SUM(E99:P99)</f>
        <v>933.8</v>
      </c>
      <c r="E99" s="133" t="n">
        <v>115.9</v>
      </c>
      <c r="F99" s="133" t="n">
        <v>109.7</v>
      </c>
      <c r="G99" s="133" t="n">
        <v>133.7</v>
      </c>
      <c r="H99" s="133" t="n">
        <v>145</v>
      </c>
      <c r="I99" s="133" t="n">
        <v>113.4</v>
      </c>
      <c r="J99" s="133" t="n">
        <v>121.3</v>
      </c>
      <c r="K99" s="133" t="n">
        <v>95.8</v>
      </c>
      <c r="L99" s="133" t="n">
        <v>99</v>
      </c>
    </row>
    <row r="100" customFormat="false" ht="15" hidden="false" customHeight="false" outlineLevel="0" collapsed="false">
      <c r="A100" s="28" t="s">
        <v>1878</v>
      </c>
      <c r="B100" s="58" t="s">
        <v>1786</v>
      </c>
      <c r="C100" s="59" t="n">
        <f aca="false">SUM(E100:P100)</f>
        <v>74612.99</v>
      </c>
      <c r="E100" s="103" t="n">
        <v>9664.16</v>
      </c>
      <c r="F100" s="103" t="n">
        <v>8800.24</v>
      </c>
      <c r="G100" s="103" t="n">
        <v>10139.03</v>
      </c>
      <c r="H100" s="103" t="n">
        <v>11354.68</v>
      </c>
      <c r="I100" s="103" t="n">
        <v>9303.4</v>
      </c>
      <c r="J100" s="103" t="n">
        <v>9936.04</v>
      </c>
      <c r="K100" s="103" t="n">
        <v>7682.8</v>
      </c>
      <c r="L100" s="103" t="n">
        <v>7732.64</v>
      </c>
    </row>
    <row r="101" customFormat="false" ht="15" hidden="false" customHeight="false" outlineLevel="0" collapsed="false">
      <c r="A101" s="28" t="s">
        <v>1879</v>
      </c>
      <c r="B101" s="58" t="s">
        <v>1790</v>
      </c>
      <c r="C101" s="59" t="n">
        <f aca="false">SUM(E101:P101)</f>
        <v>74741.68</v>
      </c>
      <c r="E101" s="103" t="n">
        <v>7861.33</v>
      </c>
      <c r="F101" s="103" t="n">
        <v>9664.16</v>
      </c>
      <c r="G101" s="103" t="n">
        <v>8800.24</v>
      </c>
      <c r="H101" s="103" t="n">
        <v>10139.03</v>
      </c>
      <c r="I101" s="103" t="n">
        <v>11354.68</v>
      </c>
      <c r="J101" s="103" t="n">
        <v>9303.4</v>
      </c>
      <c r="K101" s="103" t="n">
        <v>9936.04</v>
      </c>
      <c r="L101" s="103" t="n">
        <v>7682.8</v>
      </c>
    </row>
    <row r="102" customFormat="false" ht="15" hidden="false" customHeight="false" outlineLevel="0" collapsed="false">
      <c r="A102" s="28" t="s">
        <v>1880</v>
      </c>
      <c r="B102" s="58" t="s">
        <v>1881</v>
      </c>
      <c r="C102" s="59" t="n">
        <f aca="false">SUM(E102:P102)</f>
        <v>428397.39</v>
      </c>
      <c r="E102" s="103" t="n">
        <v>51747.62</v>
      </c>
      <c r="F102" s="103" t="n">
        <v>47739.56</v>
      </c>
      <c r="G102" s="103" t="n">
        <v>53342.71</v>
      </c>
      <c r="H102" s="103" t="n">
        <v>62071.92</v>
      </c>
      <c r="I102" s="103" t="n">
        <v>56242.76</v>
      </c>
      <c r="J102" s="103" t="n">
        <v>49248.69</v>
      </c>
      <c r="K102" s="103" t="n">
        <v>47988.9</v>
      </c>
      <c r="L102" s="103" t="n">
        <v>60015.23</v>
      </c>
    </row>
    <row r="103" customFormat="false" ht="15" hidden="false" customHeight="false" outlineLevel="0" collapsed="false">
      <c r="A103" s="28" t="s">
        <v>1882</v>
      </c>
      <c r="B103" s="58" t="s">
        <v>1790</v>
      </c>
      <c r="C103" s="59" t="n">
        <f aca="false">SUM(E103:P103)</f>
        <v>42839.74</v>
      </c>
      <c r="E103" s="103" t="n">
        <v>5174.76</v>
      </c>
      <c r="F103" s="103" t="n">
        <v>4773.96</v>
      </c>
      <c r="G103" s="103" t="n">
        <v>5334.27</v>
      </c>
      <c r="H103" s="103" t="n">
        <v>6207.19</v>
      </c>
      <c r="I103" s="103" t="n">
        <v>5624.28</v>
      </c>
      <c r="J103" s="103" t="n">
        <v>4924.87</v>
      </c>
      <c r="K103" s="103" t="n">
        <v>4798.89</v>
      </c>
      <c r="L103" s="103" t="n">
        <v>6001.52</v>
      </c>
    </row>
    <row r="104" customFormat="false" ht="15" hidden="false" customHeight="false" outlineLevel="0" collapsed="false">
      <c r="A104" s="28" t="s">
        <v>1883</v>
      </c>
      <c r="B104" s="58" t="s">
        <v>1881</v>
      </c>
      <c r="C104" s="59" t="n">
        <f aca="false">SUM(E104:P104)</f>
        <v>667724.31</v>
      </c>
      <c r="E104" s="103" t="n">
        <v>67663.78</v>
      </c>
      <c r="F104" s="103" t="n">
        <v>69211.3</v>
      </c>
      <c r="G104" s="103" t="n">
        <v>83017.1</v>
      </c>
      <c r="H104" s="103" t="n">
        <v>87696.66</v>
      </c>
      <c r="I104" s="103" t="n">
        <v>93777.15</v>
      </c>
      <c r="J104" s="103" t="n">
        <v>86148.17</v>
      </c>
      <c r="K104" s="103" t="n">
        <v>89944.71</v>
      </c>
      <c r="L104" s="103" t="n">
        <v>90265.44</v>
      </c>
    </row>
    <row r="105" customFormat="false" ht="15" hidden="false" customHeight="false" outlineLevel="0" collapsed="false">
      <c r="A105" s="28" t="s">
        <v>1884</v>
      </c>
      <c r="B105" s="58" t="s">
        <v>1790</v>
      </c>
      <c r="C105" s="59" t="n">
        <f aca="false">SUM(E105:P105)</f>
        <v>60095.19</v>
      </c>
      <c r="E105" s="103" t="n">
        <v>6089.74</v>
      </c>
      <c r="F105" s="103" t="n">
        <v>6229.02</v>
      </c>
      <c r="G105" s="103" t="n">
        <v>7471.54</v>
      </c>
      <c r="H105" s="103" t="n">
        <v>7892.7</v>
      </c>
      <c r="I105" s="103" t="n">
        <v>8439.94</v>
      </c>
      <c r="J105" s="103" t="n">
        <v>7753.34</v>
      </c>
      <c r="K105" s="103" t="n">
        <v>8095.02</v>
      </c>
      <c r="L105" s="103" t="n">
        <v>8123.89</v>
      </c>
    </row>
    <row r="106" customFormat="false" ht="15" hidden="false" customHeight="false" outlineLevel="0" collapsed="false">
      <c r="A106" s="28" t="s">
        <v>1885</v>
      </c>
      <c r="B106" s="58" t="s">
        <v>1881</v>
      </c>
      <c r="C106" s="59" t="n">
        <f aca="false">SUM(E106:P106)</f>
        <v>300488.92</v>
      </c>
      <c r="E106" s="103" t="n">
        <v>36651.48</v>
      </c>
      <c r="F106" s="103" t="n">
        <v>36033.18</v>
      </c>
      <c r="G106" s="103" t="n">
        <v>37761.67</v>
      </c>
      <c r="H106" s="103" t="n">
        <v>41489.22</v>
      </c>
      <c r="I106" s="103" t="n">
        <v>37868.66</v>
      </c>
      <c r="J106" s="103" t="n">
        <v>40561.35</v>
      </c>
      <c r="K106" s="103" t="n">
        <v>35029.41</v>
      </c>
      <c r="L106" s="103" t="n">
        <v>35093.95</v>
      </c>
    </row>
    <row r="107" customFormat="false" ht="15" hidden="false" customHeight="false" outlineLevel="0" collapsed="false">
      <c r="A107" s="28" t="s">
        <v>1886</v>
      </c>
      <c r="B107" s="58" t="s">
        <v>1790</v>
      </c>
      <c r="C107" s="59" t="n">
        <f aca="false">SUM(E107:P107)</f>
        <v>30048.9</v>
      </c>
      <c r="E107" s="103" t="n">
        <v>3665.15</v>
      </c>
      <c r="F107" s="103" t="n">
        <v>3603.32</v>
      </c>
      <c r="G107" s="103" t="n">
        <v>3776.17</v>
      </c>
      <c r="H107" s="103" t="n">
        <v>4148.92</v>
      </c>
      <c r="I107" s="103" t="n">
        <v>3786.87</v>
      </c>
      <c r="J107" s="103" t="n">
        <v>4056.14</v>
      </c>
      <c r="K107" s="103" t="n">
        <v>3502.94</v>
      </c>
      <c r="L107" s="103" t="n">
        <v>3509.39</v>
      </c>
    </row>
    <row r="108" customFormat="false" ht="15" hidden="false" customHeight="false" outlineLevel="0" collapsed="false">
      <c r="A108" s="28" t="s">
        <v>1887</v>
      </c>
      <c r="B108" s="58" t="s">
        <v>1881</v>
      </c>
      <c r="C108" s="59" t="n">
        <f aca="false">SUM(E108:P108)</f>
        <v>162873.93</v>
      </c>
      <c r="E108" s="103" t="n">
        <v>17814.1</v>
      </c>
      <c r="F108" s="103" t="n">
        <v>19471.68</v>
      </c>
      <c r="G108" s="103" t="n">
        <v>20102.78</v>
      </c>
      <c r="H108" s="103" t="n">
        <v>21367.75</v>
      </c>
      <c r="I108" s="103" t="n">
        <v>20600.91</v>
      </c>
      <c r="J108" s="103" t="n">
        <v>21373.1</v>
      </c>
      <c r="K108" s="103" t="n">
        <v>20230.83</v>
      </c>
      <c r="L108" s="103" t="n">
        <v>21912.78</v>
      </c>
    </row>
    <row r="109" customFormat="false" ht="15" hidden="false" customHeight="false" outlineLevel="0" collapsed="false">
      <c r="A109" s="28" t="s">
        <v>1888</v>
      </c>
      <c r="B109" s="58" t="s">
        <v>1790</v>
      </c>
      <c r="C109" s="59" t="n">
        <f aca="false">SUM(E109:P109)</f>
        <v>19544.86</v>
      </c>
      <c r="E109" s="103" t="n">
        <v>2137.69</v>
      </c>
      <c r="F109" s="103" t="n">
        <v>2336.6</v>
      </c>
      <c r="G109" s="103" t="n">
        <v>2412.33</v>
      </c>
      <c r="H109" s="103" t="n">
        <v>2564.13</v>
      </c>
      <c r="I109" s="103" t="n">
        <v>2472.11</v>
      </c>
      <c r="J109" s="103" t="n">
        <v>2564.77</v>
      </c>
      <c r="K109" s="103" t="n">
        <v>2427.7</v>
      </c>
      <c r="L109" s="103" t="n">
        <v>2629.53</v>
      </c>
    </row>
    <row r="110" customFormat="false" ht="15" hidden="false" customHeight="false" outlineLevel="0" collapsed="false">
      <c r="A110" s="28" t="s">
        <v>1889</v>
      </c>
      <c r="B110" s="58" t="s">
        <v>1881</v>
      </c>
      <c r="C110" s="59" t="n">
        <f aca="false">SUM(E110:P110)</f>
        <v>223497.99</v>
      </c>
      <c r="E110" s="103" t="n">
        <v>26297.13</v>
      </c>
      <c r="F110" s="103" t="n">
        <v>26644.31</v>
      </c>
      <c r="G110" s="103" t="n">
        <v>28793.82</v>
      </c>
      <c r="H110" s="103" t="n">
        <v>30973.38</v>
      </c>
      <c r="I110" s="103" t="n">
        <v>31211.42</v>
      </c>
      <c r="J110" s="103" t="n">
        <v>29702.68</v>
      </c>
      <c r="K110" s="103" t="n">
        <v>24993.32</v>
      </c>
      <c r="L110" s="103" t="n">
        <v>24881.93</v>
      </c>
    </row>
    <row r="111" customFormat="false" ht="15" hidden="false" customHeight="false" outlineLevel="0" collapsed="false">
      <c r="A111" s="28" t="s">
        <v>1890</v>
      </c>
      <c r="B111" s="58" t="s">
        <v>1790</v>
      </c>
      <c r="C111" s="59" t="n">
        <f aca="false">SUM(E111:P111)</f>
        <v>22349.79</v>
      </c>
      <c r="E111" s="103" t="n">
        <v>2629.71</v>
      </c>
      <c r="F111" s="103" t="n">
        <v>2664.43</v>
      </c>
      <c r="G111" s="103" t="n">
        <v>2879.38</v>
      </c>
      <c r="H111" s="103" t="n">
        <v>3097.34</v>
      </c>
      <c r="I111" s="103" t="n">
        <v>3121.14</v>
      </c>
      <c r="J111" s="103" t="n">
        <v>2970.27</v>
      </c>
      <c r="K111" s="103" t="n">
        <v>2499.33</v>
      </c>
      <c r="L111" s="103" t="n">
        <v>2488.19</v>
      </c>
    </row>
    <row r="112" customFormat="false" ht="15" hidden="false" customHeight="false" outlineLevel="0" collapsed="false">
      <c r="A112" s="22" t="s">
        <v>1891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row>
    <row r="113" customFormat="false" ht="15" hidden="false" customHeight="false" outlineLevel="0" collapsed="false">
      <c r="A113" s="28" t="s">
        <v>1892</v>
      </c>
      <c r="B113" s="58" t="s">
        <v>1893</v>
      </c>
      <c r="C113" s="59" t="n">
        <f aca="false">SUM(E113:P113)</f>
        <v>430068.61</v>
      </c>
      <c r="E113" s="103" t="n">
        <v>41018.64</v>
      </c>
      <c r="F113" s="103" t="n">
        <v>84117.35</v>
      </c>
      <c r="G113" s="103" t="n">
        <v>42294.42</v>
      </c>
      <c r="H113" s="103" t="n">
        <v>66531.52</v>
      </c>
      <c r="I113" s="103" t="n">
        <v>43620.08</v>
      </c>
      <c r="J113" s="103" t="n">
        <v>49695.84</v>
      </c>
      <c r="K113" s="103" t="n">
        <v>41559.96</v>
      </c>
      <c r="L113" s="103" t="n">
        <v>61230.8</v>
      </c>
    </row>
    <row r="114" customFormat="false" ht="15" hidden="false" customHeight="false" outlineLevel="0" collapsed="false">
      <c r="A114" s="28" t="s">
        <v>1894</v>
      </c>
      <c r="B114" s="58" t="s">
        <v>1893</v>
      </c>
      <c r="C114" s="59" t="n">
        <f aca="false">SUM(E114:P114)</f>
        <v>615548.06</v>
      </c>
      <c r="E114" s="103" t="n">
        <v>68870.03</v>
      </c>
      <c r="F114" s="103" t="n">
        <v>100682.27</v>
      </c>
      <c r="G114" s="103" t="n">
        <v>53418.87</v>
      </c>
      <c r="H114" s="103" t="n">
        <v>52918.66</v>
      </c>
      <c r="I114" s="103" t="n">
        <v>120402.2</v>
      </c>
      <c r="J114" s="103" t="n">
        <v>65730.95</v>
      </c>
      <c r="K114" s="103" t="n">
        <v>54774.75</v>
      </c>
      <c r="L114" s="103" t="n">
        <v>98750.33</v>
      </c>
    </row>
    <row r="115" customFormat="false" ht="15" hidden="false" customHeight="false" outlineLevel="0" collapsed="false">
      <c r="A115" s="28" t="s">
        <v>1895</v>
      </c>
      <c r="B115" s="58" t="s">
        <v>1893</v>
      </c>
      <c r="C115" s="59" t="n">
        <f aca="false">SUM(E115:P115)</f>
        <v>21830.92</v>
      </c>
      <c r="E115" s="103" t="n">
        <v>0</v>
      </c>
      <c r="F115" s="103" t="n">
        <v>0</v>
      </c>
      <c r="G115" s="103" t="n">
        <v>0</v>
      </c>
      <c r="H115" s="103" t="n">
        <v>0</v>
      </c>
      <c r="I115" s="103" t="n">
        <v>0</v>
      </c>
      <c r="J115" s="103" t="n">
        <v>-276.45</v>
      </c>
      <c r="K115" s="103" t="n">
        <v>12029.94</v>
      </c>
      <c r="L115" s="103" t="n">
        <v>10077.43</v>
      </c>
    </row>
    <row r="116" customFormat="false" ht="15" hidden="false" customHeight="false" outlineLevel="0" collapsed="false">
      <c r="A116" s="28" t="s">
        <v>1896</v>
      </c>
      <c r="B116" s="58" t="s">
        <v>1893</v>
      </c>
      <c r="C116" s="59" t="n">
        <f aca="false">SUM(E116:P116)</f>
        <v>137216.19</v>
      </c>
      <c r="E116" s="103" t="n">
        <v>17042.51</v>
      </c>
      <c r="F116" s="103" t="n">
        <v>16709.45</v>
      </c>
      <c r="G116" s="103" t="n">
        <v>18134.38</v>
      </c>
      <c r="H116" s="103" t="n">
        <v>19624.88</v>
      </c>
      <c r="I116" s="103" t="n">
        <v>16268.18</v>
      </c>
      <c r="J116" s="103" t="n">
        <v>17166.74</v>
      </c>
      <c r="K116" s="103" t="n">
        <v>18356.48</v>
      </c>
      <c r="L116" s="103" t="n">
        <v>13913.57</v>
      </c>
    </row>
    <row r="117" customFormat="false" ht="15" hidden="false" customHeight="false" outlineLevel="0" collapsed="false">
      <c r="A117" s="28" t="s">
        <v>1897</v>
      </c>
      <c r="B117" s="58" t="s">
        <v>1893</v>
      </c>
      <c r="C117" s="59" t="n">
        <f aca="false">SUM(E117:P117)</f>
        <v>101500</v>
      </c>
      <c r="E117" s="103" t="n">
        <v>0</v>
      </c>
      <c r="F117" s="103" t="n">
        <v>0</v>
      </c>
      <c r="G117" s="103" t="n">
        <v>6145.72</v>
      </c>
      <c r="H117" s="103" t="n">
        <v>37354.28</v>
      </c>
      <c r="I117" s="103" t="n">
        <v>0</v>
      </c>
      <c r="J117" s="103" t="n">
        <v>-720.54</v>
      </c>
      <c r="K117" s="103" t="n">
        <v>58720.54</v>
      </c>
      <c r="L117" s="103" t="n">
        <v>0</v>
      </c>
    </row>
    <row r="118" customFormat="false" ht="15" hidden="false" customHeight="false" outlineLevel="0" collapsed="false">
      <c r="A118" s="28" t="s">
        <v>1898</v>
      </c>
      <c r="B118" s="58" t="s">
        <v>1893</v>
      </c>
      <c r="C118" s="59" t="n">
        <f aca="false">SUM(E118:P118)</f>
        <v>229771.78</v>
      </c>
      <c r="E118" s="103" t="n">
        <v>23008.3</v>
      </c>
      <c r="F118" s="103" t="n">
        <v>62068.25</v>
      </c>
      <c r="G118" s="103" t="n">
        <v>18299.53</v>
      </c>
      <c r="H118" s="103" t="n">
        <v>20094.93</v>
      </c>
      <c r="I118" s="103" t="n">
        <v>49958.26</v>
      </c>
      <c r="J118" s="103" t="n">
        <v>18207.37</v>
      </c>
      <c r="K118" s="103" t="n">
        <v>20703.32</v>
      </c>
      <c r="L118" s="103" t="n">
        <v>17431.82</v>
      </c>
    </row>
    <row r="119" customFormat="false" ht="15" hidden="false" customHeight="false" outlineLevel="0" collapsed="false">
      <c r="A119" s="28" t="s">
        <v>1899</v>
      </c>
      <c r="B119" s="58" t="s">
        <v>1893</v>
      </c>
      <c r="C119" s="59" t="n">
        <f aca="false">SUM(E119:P119)</f>
        <v>21232.4</v>
      </c>
      <c r="E119" s="103" t="n">
        <v>0</v>
      </c>
      <c r="F119" s="103" t="n">
        <v>0</v>
      </c>
      <c r="G119" s="103" t="n">
        <v>0</v>
      </c>
      <c r="H119" s="103" t="n">
        <v>0</v>
      </c>
      <c r="I119" s="103" t="n">
        <v>0</v>
      </c>
      <c r="J119" s="103" t="n">
        <v>-1898.27</v>
      </c>
      <c r="K119" s="103" t="n">
        <v>18401.35</v>
      </c>
      <c r="L119" s="103" t="n">
        <v>4729.32</v>
      </c>
    </row>
    <row r="120" customFormat="false" ht="15" hidden="false" customHeight="false" outlineLevel="0" collapsed="false">
      <c r="A120" s="28" t="s">
        <v>1900</v>
      </c>
      <c r="B120" s="58" t="s">
        <v>1893</v>
      </c>
      <c r="C120" s="59" t="n">
        <f aca="false">SUM(E120:P120)</f>
        <v>93081.02</v>
      </c>
      <c r="E120" s="103" t="n">
        <v>0</v>
      </c>
      <c r="F120" s="103" t="n">
        <v>0</v>
      </c>
      <c r="G120" s="103" t="n">
        <v>0</v>
      </c>
      <c r="H120" s="103" t="n">
        <v>-6422.24</v>
      </c>
      <c r="I120" s="103" t="n">
        <v>21362.46</v>
      </c>
      <c r="J120" s="103" t="n">
        <v>22766.7</v>
      </c>
      <c r="K120" s="103" t="n">
        <v>25566.49</v>
      </c>
      <c r="L120" s="103" t="n">
        <v>29807.61</v>
      </c>
    </row>
    <row r="121" customFormat="false" ht="15" hidden="false" customHeight="false" outlineLevel="0" collapsed="false">
      <c r="A121" s="28" t="s">
        <v>1901</v>
      </c>
      <c r="B121" s="58" t="s">
        <v>1893</v>
      </c>
      <c r="C121" s="59" t="n">
        <f aca="false">SUM(E121:P121)</f>
        <v>842665.64</v>
      </c>
      <c r="E121" s="103" t="n">
        <v>108093.63</v>
      </c>
      <c r="F121" s="103" t="n">
        <v>151952.1</v>
      </c>
      <c r="G121" s="103" t="n">
        <v>73474.85</v>
      </c>
      <c r="H121" s="103" t="n">
        <v>104268.91</v>
      </c>
      <c r="I121" s="103" t="n">
        <v>101484.01</v>
      </c>
      <c r="J121" s="103" t="n">
        <v>78717.88</v>
      </c>
      <c r="K121" s="103" t="n">
        <v>134762.36</v>
      </c>
      <c r="L121" s="103" t="n">
        <v>89911.9</v>
      </c>
    </row>
    <row r="122" customFormat="false" ht="15" hidden="false" customHeight="false" outlineLevel="0" collapsed="false">
      <c r="A122" s="28" t="s">
        <v>1902</v>
      </c>
      <c r="B122" s="58" t="s">
        <v>1893</v>
      </c>
      <c r="C122" s="59" t="n">
        <f aca="false">SUM(E122:P122)</f>
        <v>130500</v>
      </c>
      <c r="E122" s="103" t="n">
        <v>0</v>
      </c>
      <c r="F122" s="103" t="n">
        <v>-6791.25</v>
      </c>
      <c r="G122" s="103" t="n">
        <v>42203.85</v>
      </c>
      <c r="H122" s="103" t="n">
        <v>27587.4</v>
      </c>
      <c r="I122" s="103" t="n">
        <v>0</v>
      </c>
      <c r="J122" s="103" t="n">
        <v>-3568.35</v>
      </c>
      <c r="K122" s="103" t="n">
        <v>39681.55</v>
      </c>
      <c r="L122" s="103" t="n">
        <v>31386.8</v>
      </c>
    </row>
    <row r="123" customFormat="false" ht="15" hidden="false" customHeight="false" outlineLevel="0" collapsed="false">
      <c r="A123" s="28" t="s">
        <v>1903</v>
      </c>
      <c r="B123" s="58" t="s">
        <v>1893</v>
      </c>
      <c r="C123" s="59" t="n">
        <f aca="false">SUM(E123:P123)</f>
        <v>146927.86</v>
      </c>
      <c r="E123" s="103" t="n">
        <v>20421.71</v>
      </c>
      <c r="F123" s="103" t="n">
        <v>15239.5</v>
      </c>
      <c r="G123" s="103" t="n">
        <v>21514.74</v>
      </c>
      <c r="H123" s="103" t="n">
        <v>16125.73</v>
      </c>
      <c r="I123" s="103" t="n">
        <v>17698.39</v>
      </c>
      <c r="J123" s="103" t="n">
        <v>22496.94</v>
      </c>
      <c r="K123" s="103" t="n">
        <v>15114.98</v>
      </c>
      <c r="L123" s="103" t="n">
        <v>18315.87</v>
      </c>
    </row>
    <row r="124" customFormat="false" ht="15" hidden="false" customHeight="false" outlineLevel="0" collapsed="false">
      <c r="A124" s="28" t="s">
        <v>1904</v>
      </c>
      <c r="B124" s="58" t="s">
        <v>1893</v>
      </c>
      <c r="C124" s="59" t="n">
        <f aca="false">SUM(E124:P124)</f>
        <v>490980.08</v>
      </c>
      <c r="E124" s="103" t="n">
        <v>48155.13</v>
      </c>
      <c r="F124" s="103" t="n">
        <v>96637.13</v>
      </c>
      <c r="G124" s="103" t="n">
        <v>31469.7</v>
      </c>
      <c r="H124" s="103" t="n">
        <v>42108.42</v>
      </c>
      <c r="I124" s="103" t="n">
        <v>85084.95</v>
      </c>
      <c r="J124" s="103" t="n">
        <v>47633.69</v>
      </c>
      <c r="K124" s="103" t="n">
        <v>46522.02</v>
      </c>
      <c r="L124" s="103" t="n">
        <v>93369.04</v>
      </c>
    </row>
    <row r="125" customFormat="false" ht="15" hidden="false" customHeight="false" outlineLevel="0" collapsed="false">
      <c r="A125" s="28" t="s">
        <v>1905</v>
      </c>
      <c r="B125" s="58" t="s">
        <v>1893</v>
      </c>
      <c r="C125" s="59" t="n">
        <f aca="false">SUM(E125:P125)</f>
        <v>373377.85</v>
      </c>
      <c r="E125" s="103" t="n">
        <v>51045.39</v>
      </c>
      <c r="F125" s="103" t="n">
        <v>48141.74</v>
      </c>
      <c r="G125" s="103" t="n">
        <v>38125.32</v>
      </c>
      <c r="H125" s="103" t="n">
        <v>40889.24</v>
      </c>
      <c r="I125" s="103" t="n">
        <v>50424.69</v>
      </c>
      <c r="J125" s="103" t="n">
        <v>52689.94</v>
      </c>
      <c r="K125" s="103" t="n">
        <v>43750.92</v>
      </c>
      <c r="L125" s="103" t="n">
        <v>48310.61</v>
      </c>
    </row>
    <row r="126" customFormat="false" ht="15" hidden="false" customHeight="false" outlineLevel="0" collapsed="false">
      <c r="A126" s="28" t="s">
        <v>1906</v>
      </c>
      <c r="B126" s="58" t="s">
        <v>1893</v>
      </c>
      <c r="C126" s="59" t="n">
        <f aca="false">SUM(E126:P126)</f>
        <v>31525.74</v>
      </c>
      <c r="E126" s="103" t="n">
        <v>0</v>
      </c>
      <c r="F126" s="103" t="n">
        <v>0</v>
      </c>
      <c r="G126" s="103" t="n">
        <v>0</v>
      </c>
      <c r="H126" s="103" t="n">
        <v>0</v>
      </c>
      <c r="I126" s="103" t="n">
        <v>-733.15</v>
      </c>
      <c r="J126" s="103" t="n">
        <v>29533.15</v>
      </c>
      <c r="K126" s="103" t="n">
        <v>0</v>
      </c>
      <c r="L126" s="103" t="n">
        <v>2725.74</v>
      </c>
    </row>
    <row r="127" customFormat="false" ht="15" hidden="false" customHeight="false" outlineLevel="0" collapsed="false">
      <c r="A127" s="28" t="s">
        <v>1907</v>
      </c>
      <c r="B127" s="58" t="s">
        <v>1893</v>
      </c>
      <c r="C127" s="59" t="n">
        <f aca="false">SUM(E127:P127)</f>
        <v>107452.27</v>
      </c>
      <c r="E127" s="103" t="n">
        <v>14979.91</v>
      </c>
      <c r="F127" s="103" t="n">
        <v>12244.86</v>
      </c>
      <c r="G127" s="103" t="n">
        <v>14849.75</v>
      </c>
      <c r="H127" s="103" t="n">
        <v>12379.78</v>
      </c>
      <c r="I127" s="103" t="n">
        <v>13716.36</v>
      </c>
      <c r="J127" s="103" t="n">
        <v>13234.24</v>
      </c>
      <c r="K127" s="103" t="n">
        <v>13589.08</v>
      </c>
      <c r="L127" s="103" t="n">
        <v>12458.29</v>
      </c>
    </row>
    <row r="128" customFormat="false" ht="15" hidden="false" customHeight="false" outlineLevel="0" collapsed="false">
      <c r="A128" s="28" t="s">
        <v>1908</v>
      </c>
      <c r="B128" s="58" t="s">
        <v>1893</v>
      </c>
      <c r="C128" s="59" t="n">
        <f aca="false">SUM(E128:P128)</f>
        <v>56933.66</v>
      </c>
      <c r="E128" s="103" t="n">
        <v>0</v>
      </c>
      <c r="F128" s="103" t="n">
        <v>1693.13</v>
      </c>
      <c r="G128" s="103" t="n">
        <v>20506.87</v>
      </c>
      <c r="H128" s="103" t="n">
        <v>-317.13</v>
      </c>
      <c r="I128" s="103" t="n">
        <v>9866.63</v>
      </c>
      <c r="J128" s="103" t="n">
        <v>8030.82</v>
      </c>
      <c r="K128" s="103" t="n">
        <v>9454.63</v>
      </c>
      <c r="L128" s="103" t="n">
        <v>7698.71</v>
      </c>
    </row>
    <row r="129" customFormat="false" ht="15" hidden="false" customHeight="false" outlineLevel="0" collapsed="false">
      <c r="A129" s="28" t="s">
        <v>1909</v>
      </c>
      <c r="B129" s="58" t="s">
        <v>1893</v>
      </c>
      <c r="C129" s="59" t="n">
        <f aca="false">SUM(E129:P129)</f>
        <v>318261.79</v>
      </c>
      <c r="E129" s="103" t="n">
        <v>41393.15</v>
      </c>
      <c r="F129" s="103" t="n">
        <v>34546.01</v>
      </c>
      <c r="G129" s="103" t="n">
        <v>45393.93</v>
      </c>
      <c r="H129" s="103" t="n">
        <v>39731.77</v>
      </c>
      <c r="I129" s="103" t="n">
        <v>36699.01</v>
      </c>
      <c r="J129" s="103" t="n">
        <v>41232.45</v>
      </c>
      <c r="K129" s="103" t="n">
        <v>41933.12</v>
      </c>
      <c r="L129" s="103" t="n">
        <v>37332.35</v>
      </c>
    </row>
    <row r="130" customFormat="false" ht="15" hidden="false" customHeight="false" outlineLevel="0" collapsed="false">
      <c r="A130" s="28" t="s">
        <v>1910</v>
      </c>
      <c r="B130" s="58" t="s">
        <v>1893</v>
      </c>
      <c r="C130" s="59" t="n">
        <f aca="false">SUM(E130:P130)</f>
        <v>93262.27</v>
      </c>
      <c r="E130" s="103" t="n">
        <v>10312.08</v>
      </c>
      <c r="F130" s="103" t="n">
        <v>10085.46</v>
      </c>
      <c r="G130" s="103" t="n">
        <v>13003.59</v>
      </c>
      <c r="H130" s="103" t="n">
        <v>10502.26</v>
      </c>
      <c r="I130" s="103" t="n">
        <v>14112.37</v>
      </c>
      <c r="J130" s="103" t="n">
        <v>13182.28</v>
      </c>
      <c r="K130" s="103" t="n">
        <v>11892.02</v>
      </c>
      <c r="L130" s="103" t="n">
        <v>10172.21</v>
      </c>
    </row>
    <row r="131" customFormat="false" ht="15" hidden="false" customHeight="false" outlineLevel="0" collapsed="false">
      <c r="A131" s="22" t="s">
        <v>1911</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row>
    <row r="132" customFormat="false" ht="15" hidden="false" customHeight="false" outlineLevel="0" collapsed="false">
      <c r="A132" s="28" t="s">
        <v>1912</v>
      </c>
      <c r="B132" s="58" t="s">
        <v>1913</v>
      </c>
      <c r="C132" s="59" t="n">
        <f aca="false">AVERAGE(E132:P132)</f>
        <v>5</v>
      </c>
      <c r="E132" s="103" t="n">
        <v>5</v>
      </c>
      <c r="F132" s="103" t="n">
        <v>5</v>
      </c>
      <c r="G132" s="103" t="n">
        <v>5</v>
      </c>
      <c r="H132" s="103" t="n">
        <v>5</v>
      </c>
      <c r="I132" s="103" t="n">
        <v>5</v>
      </c>
      <c r="J132" s="103" t="n">
        <v>5</v>
      </c>
      <c r="K132" s="103" t="n">
        <v>5</v>
      </c>
      <c r="L132" s="103" t="n">
        <v>5</v>
      </c>
    </row>
    <row r="133" customFormat="false" ht="15" hidden="false" customHeight="false" outlineLevel="0" collapsed="false">
      <c r="A133" s="28" t="s">
        <v>1914</v>
      </c>
      <c r="B133" s="58" t="s">
        <v>1913</v>
      </c>
      <c r="C133" s="59" t="n">
        <f aca="false">AVERAGE(E133:P133)</f>
        <v>8.75</v>
      </c>
      <c r="E133" s="103" t="n">
        <v>9</v>
      </c>
      <c r="F133" s="103" t="n">
        <v>9</v>
      </c>
      <c r="G133" s="103" t="n">
        <v>9</v>
      </c>
      <c r="H133" s="103" t="n">
        <v>9</v>
      </c>
      <c r="I133" s="103" t="n">
        <v>8</v>
      </c>
      <c r="J133" s="103" t="n">
        <v>8</v>
      </c>
      <c r="K133" s="103" t="n">
        <v>9</v>
      </c>
      <c r="L133" s="103" t="n">
        <v>9</v>
      </c>
    </row>
    <row r="134" customFormat="false" ht="15" hidden="false" customHeight="false" outlineLevel="0" collapsed="false">
      <c r="A134" s="28" t="s">
        <v>1915</v>
      </c>
      <c r="B134" s="58" t="s">
        <v>1913</v>
      </c>
      <c r="C134" s="59" t="n">
        <f aca="false">AVERAGE(E134:P134)</f>
        <v>4.5</v>
      </c>
      <c r="E134" s="103" t="n">
        <v>5</v>
      </c>
      <c r="F134" s="103" t="n">
        <v>5</v>
      </c>
      <c r="G134" s="103" t="n">
        <v>5</v>
      </c>
      <c r="H134" s="103" t="n">
        <v>5</v>
      </c>
      <c r="I134" s="103" t="n">
        <v>4</v>
      </c>
      <c r="J134" s="103" t="n">
        <v>4</v>
      </c>
      <c r="K134" s="103" t="n">
        <v>4</v>
      </c>
      <c r="L134" s="103" t="n">
        <v>4</v>
      </c>
    </row>
    <row r="135" customFormat="false" ht="15" hidden="false" customHeight="false" outlineLevel="0" collapsed="false">
      <c r="A135" s="28" t="s">
        <v>1916</v>
      </c>
      <c r="B135" s="58" t="s">
        <v>1913</v>
      </c>
      <c r="C135" s="59" t="n">
        <f aca="false">AVERAGE(E135:P135)</f>
        <v>7.625</v>
      </c>
      <c r="E135" s="103" t="n">
        <v>7</v>
      </c>
      <c r="F135" s="103" t="n">
        <v>7</v>
      </c>
      <c r="G135" s="103" t="n">
        <v>7</v>
      </c>
      <c r="H135" s="103" t="n">
        <v>8</v>
      </c>
      <c r="I135" s="103" t="n">
        <v>8</v>
      </c>
      <c r="J135" s="103" t="n">
        <v>8</v>
      </c>
      <c r="K135" s="103" t="n">
        <v>8</v>
      </c>
      <c r="L135" s="103" t="n">
        <v>8</v>
      </c>
    </row>
    <row r="136" customFormat="false" ht="15" hidden="false" customHeight="false" outlineLevel="0" collapsed="false">
      <c r="A136" s="28" t="s">
        <v>1917</v>
      </c>
      <c r="B136" s="58" t="s">
        <v>1913</v>
      </c>
      <c r="C136" s="59" t="n">
        <f aca="false">AVERAGE(E136:P136)</f>
        <v>4</v>
      </c>
      <c r="E136" s="103" t="n">
        <v>4</v>
      </c>
      <c r="F136" s="103" t="n">
        <v>4</v>
      </c>
      <c r="G136" s="103" t="n">
        <v>4</v>
      </c>
      <c r="H136" s="103" t="n">
        <v>4</v>
      </c>
      <c r="I136" s="103" t="n">
        <v>4</v>
      </c>
      <c r="J136" s="103" t="n">
        <v>4</v>
      </c>
      <c r="K136" s="103" t="n">
        <v>4</v>
      </c>
      <c r="L136" s="103" t="n">
        <v>4</v>
      </c>
    </row>
    <row r="137" customFormat="false" ht="15" hidden="false" customHeight="false" outlineLevel="0" collapsed="false">
      <c r="A137" s="28" t="s">
        <v>1918</v>
      </c>
      <c r="B137" s="58" t="s">
        <v>1913</v>
      </c>
      <c r="C137" s="59" t="n">
        <f aca="false">AVERAGE(E137:P137)</f>
        <v>3</v>
      </c>
      <c r="E137" s="103" t="n">
        <v>3</v>
      </c>
      <c r="F137" s="103" t="n">
        <v>3</v>
      </c>
      <c r="G137" s="103" t="n">
        <v>3</v>
      </c>
      <c r="H137" s="103" t="n">
        <v>3</v>
      </c>
      <c r="I137" s="103" t="n">
        <v>3</v>
      </c>
      <c r="J137" s="103" t="n">
        <v>3</v>
      </c>
      <c r="K137" s="103" t="n">
        <v>3</v>
      </c>
      <c r="L137" s="103" t="n">
        <v>3</v>
      </c>
    </row>
    <row r="138" customFormat="false" ht="15" hidden="false" customHeight="false" outlineLevel="0" collapsed="false">
      <c r="A138" s="28" t="s">
        <v>1919</v>
      </c>
      <c r="B138" s="58" t="s">
        <v>1788</v>
      </c>
      <c r="C138" s="66" t="n">
        <f aca="false">SUM(E138:P138)</f>
        <v>3094.3</v>
      </c>
      <c r="E138" s="133" t="n">
        <v>351.7</v>
      </c>
      <c r="F138" s="133" t="n">
        <v>336</v>
      </c>
      <c r="G138" s="133" t="n">
        <v>341.9</v>
      </c>
      <c r="H138" s="133" t="n">
        <v>365.9</v>
      </c>
      <c r="I138" s="133" t="n">
        <v>385.4</v>
      </c>
      <c r="J138" s="133" t="n">
        <v>430.3</v>
      </c>
      <c r="K138" s="133" t="n">
        <v>440</v>
      </c>
      <c r="L138" s="133" t="n">
        <v>443.1</v>
      </c>
    </row>
    <row r="139" customFormat="false" ht="15" hidden="false" customHeight="false" outlineLevel="0" collapsed="false">
      <c r="A139" s="28" t="s">
        <v>1920</v>
      </c>
      <c r="B139" s="58" t="s">
        <v>1788</v>
      </c>
      <c r="C139" s="66" t="n">
        <f aca="false">SUM(E139:P139)</f>
        <v>7228.4</v>
      </c>
      <c r="E139" s="133" t="n">
        <v>830.3</v>
      </c>
      <c r="F139" s="133" t="n">
        <v>771.1</v>
      </c>
      <c r="G139" s="133" t="n">
        <v>822</v>
      </c>
      <c r="H139" s="133" t="n">
        <v>904.6</v>
      </c>
      <c r="I139" s="133" t="n">
        <v>970.9</v>
      </c>
      <c r="J139" s="133" t="n">
        <v>984.5</v>
      </c>
      <c r="K139" s="133" t="n">
        <v>885.2</v>
      </c>
      <c r="L139" s="133" t="n">
        <v>1059.8</v>
      </c>
    </row>
    <row r="140" customFormat="false" ht="15" hidden="false" customHeight="false" outlineLevel="0" collapsed="false">
      <c r="A140" s="28" t="s">
        <v>1921</v>
      </c>
      <c r="B140" s="58" t="s">
        <v>1788</v>
      </c>
      <c r="C140" s="66" t="n">
        <f aca="false">SUM(E140:P140)</f>
        <v>2733.9</v>
      </c>
      <c r="E140" s="133" t="n">
        <v>317.6</v>
      </c>
      <c r="F140" s="133" t="n">
        <v>305.6</v>
      </c>
      <c r="G140" s="133" t="n">
        <v>310.4</v>
      </c>
      <c r="H140" s="133" t="n">
        <v>308</v>
      </c>
      <c r="I140" s="133" t="n">
        <v>320.1</v>
      </c>
      <c r="J140" s="133" t="n">
        <v>385.2</v>
      </c>
      <c r="K140" s="133" t="n">
        <v>390.8</v>
      </c>
      <c r="L140" s="133" t="n">
        <v>396.2</v>
      </c>
    </row>
    <row r="141" customFormat="false" ht="15" hidden="false" customHeight="false" outlineLevel="0" collapsed="false">
      <c r="A141" s="28" t="s">
        <v>1922</v>
      </c>
      <c r="B141" s="58" t="s">
        <v>1788</v>
      </c>
      <c r="C141" s="66" t="n">
        <f aca="false">SUM(E141:P141)</f>
        <v>7123.1</v>
      </c>
      <c r="E141" s="133" t="n">
        <v>835.2</v>
      </c>
      <c r="F141" s="133" t="n">
        <v>753</v>
      </c>
      <c r="G141" s="133" t="n">
        <v>841.8</v>
      </c>
      <c r="H141" s="133" t="n">
        <v>948.6</v>
      </c>
      <c r="I141" s="133" t="n">
        <v>1039.6</v>
      </c>
      <c r="J141" s="133" t="n">
        <v>980.4</v>
      </c>
      <c r="K141" s="133" t="n">
        <v>763.6</v>
      </c>
      <c r="L141" s="133" t="n">
        <v>960.9</v>
      </c>
    </row>
    <row r="142" customFormat="false" ht="15" hidden="false" customHeight="false" outlineLevel="0" collapsed="false">
      <c r="A142" s="28" t="s">
        <v>1923</v>
      </c>
      <c r="B142" s="58" t="s">
        <v>1788</v>
      </c>
      <c r="C142" s="66" t="n">
        <f aca="false">SUM(E142:P142)</f>
        <v>3873.5</v>
      </c>
      <c r="E142" s="133" t="n">
        <v>504.6</v>
      </c>
      <c r="F142" s="133" t="n">
        <v>494.9</v>
      </c>
      <c r="G142" s="133" t="n">
        <v>501.3</v>
      </c>
      <c r="H142" s="133" t="n">
        <v>498.1</v>
      </c>
      <c r="I142" s="133" t="n">
        <v>505.4</v>
      </c>
      <c r="J142" s="133" t="n">
        <v>496.4</v>
      </c>
      <c r="K142" s="133" t="n">
        <v>389.6</v>
      </c>
      <c r="L142" s="133" t="n">
        <v>483.2</v>
      </c>
    </row>
    <row r="143" customFormat="false" ht="15" hidden="false" customHeight="false" outlineLevel="0" collapsed="false">
      <c r="A143" s="28" t="s">
        <v>1924</v>
      </c>
      <c r="B143" s="58" t="s">
        <v>1788</v>
      </c>
      <c r="C143" s="66" t="n">
        <f aca="false">SUM(E143:P143)</f>
        <v>2522.3</v>
      </c>
      <c r="E143" s="133" t="n">
        <v>293.6</v>
      </c>
      <c r="F143" s="133" t="n">
        <v>267.8</v>
      </c>
      <c r="G143" s="133" t="n">
        <v>286.7</v>
      </c>
      <c r="H143" s="133" t="n">
        <v>312.1</v>
      </c>
      <c r="I143" s="133" t="n">
        <v>346.1</v>
      </c>
      <c r="J143" s="133" t="n">
        <v>366.5</v>
      </c>
      <c r="K143" s="133" t="n">
        <v>296.9</v>
      </c>
      <c r="L143" s="133" t="n">
        <v>352.6</v>
      </c>
    </row>
    <row r="144" customFormat="false" ht="15" hidden="false" customHeight="false" outlineLevel="0" collapsed="false">
      <c r="A144" s="28" t="s">
        <v>1925</v>
      </c>
      <c r="B144" s="58" t="s">
        <v>1926</v>
      </c>
      <c r="C144" s="66" t="n">
        <f aca="false">SUM(E144:P144)</f>
        <v>0.503999999999962</v>
      </c>
      <c r="E144" s="133" t="n">
        <v>0.09699999999998</v>
      </c>
      <c r="F144" s="133" t="n">
        <v>0.0660000000000309</v>
      </c>
      <c r="G144" s="133" t="n">
        <v>0.0589999999999691</v>
      </c>
      <c r="H144" s="133" t="n">
        <v>0.0990000000000464</v>
      </c>
      <c r="I144" s="133" t="n">
        <v>0.0310000000000059</v>
      </c>
      <c r="J144" s="133" t="n">
        <v>0.0129999999999768</v>
      </c>
      <c r="K144" s="133" t="n">
        <v>0.0849999999999795</v>
      </c>
      <c r="L144" s="133" t="n">
        <v>0.0539999999999736</v>
      </c>
    </row>
    <row r="145" customFormat="false" ht="15" hidden="false" customHeight="false" outlineLevel="0" collapsed="false">
      <c r="A145" s="28" t="s">
        <v>1927</v>
      </c>
      <c r="B145" s="58" t="s">
        <v>1926</v>
      </c>
      <c r="C145" s="66" t="n">
        <f aca="false">SUM(E145:P145)</f>
        <v>396.571</v>
      </c>
      <c r="E145" s="133" t="n">
        <v>0.0209999999999582</v>
      </c>
      <c r="F145" s="133" t="n">
        <v>0.0579999999999927</v>
      </c>
      <c r="G145" s="133" t="n">
        <v>0.0749999999999318</v>
      </c>
      <c r="H145" s="133" t="n">
        <v>0.0949999999999136</v>
      </c>
      <c r="I145" s="133" t="n">
        <v>0.0720000000000027</v>
      </c>
      <c r="J145" s="133" t="n">
        <v>109</v>
      </c>
      <c r="K145" s="133" t="n">
        <v>209.691</v>
      </c>
      <c r="L145" s="133" t="n">
        <v>77.559</v>
      </c>
    </row>
    <row r="146" customFormat="false" ht="15" hidden="false" customHeight="false" outlineLevel="0" collapsed="false">
      <c r="A146" s="28" t="s">
        <v>1928</v>
      </c>
      <c r="B146" s="58" t="s">
        <v>1926</v>
      </c>
      <c r="C146" s="66" t="n">
        <f aca="false">SUM(E146:P146)</f>
        <v>0.275999999999783</v>
      </c>
      <c r="E146" s="133" t="n">
        <v>0.00599999999991496</v>
      </c>
      <c r="F146" s="133" t="n">
        <v>0.0169999999999391</v>
      </c>
      <c r="G146" s="133" t="n">
        <v>0.0469999999999686</v>
      </c>
      <c r="H146" s="133" t="n">
        <v>0.0149999999999864</v>
      </c>
      <c r="I146" s="133" t="n">
        <v>0.0119999999999436</v>
      </c>
      <c r="J146" s="133" t="n">
        <v>0.0440000000000396</v>
      </c>
      <c r="K146" s="133" t="n">
        <v>0.0949999999999704</v>
      </c>
      <c r="L146" s="133" t="n">
        <v>0.0400000000000205</v>
      </c>
    </row>
    <row r="147" customFormat="false" ht="15" hidden="false" customHeight="false" outlineLevel="0" collapsed="false">
      <c r="A147" s="28" t="s">
        <v>1929</v>
      </c>
      <c r="B147" s="58" t="s">
        <v>1926</v>
      </c>
      <c r="C147" s="66" t="n">
        <f aca="false">SUM(E147:P147)</f>
        <v>787.087</v>
      </c>
      <c r="E147" s="133" t="n">
        <v>0.0989999999999327</v>
      </c>
      <c r="F147" s="133" t="n">
        <v>0.0989999999999327</v>
      </c>
      <c r="G147" s="133" t="n">
        <v>0.0570000000000164</v>
      </c>
      <c r="H147" s="133" t="n">
        <v>0.00599999999997181</v>
      </c>
      <c r="I147" s="133" t="n">
        <v>0.0710000000001401</v>
      </c>
      <c r="J147" s="133" t="n">
        <v>170.364</v>
      </c>
      <c r="K147" s="133" t="n">
        <v>369.008</v>
      </c>
      <c r="L147" s="133" t="n">
        <v>247.383</v>
      </c>
    </row>
    <row r="148" customFormat="false" ht="15" hidden="false" customHeight="false" outlineLevel="0" collapsed="false">
      <c r="A148" s="28" t="s">
        <v>1930</v>
      </c>
      <c r="B148" s="58" t="s">
        <v>1926</v>
      </c>
      <c r="C148" s="66" t="n">
        <f aca="false">SUM(E148:P148)</f>
        <v>141.322</v>
      </c>
      <c r="E148" s="133" t="n">
        <v>0.0169999999999959</v>
      </c>
      <c r="F148" s="133" t="n">
        <v>5.6843418860808E-014</v>
      </c>
      <c r="G148" s="133" t="n">
        <v>0.007000000000005</v>
      </c>
      <c r="H148" s="133" t="n">
        <v>0.0349999999999682</v>
      </c>
      <c r="I148" s="133" t="n">
        <v>0.0290000000000532</v>
      </c>
      <c r="J148" s="133" t="n">
        <v>2.43900000000002</v>
      </c>
      <c r="K148" s="133" t="n">
        <v>117.601</v>
      </c>
      <c r="L148" s="133" t="n">
        <v>21.1940000000001</v>
      </c>
    </row>
    <row r="149" customFormat="false" ht="15" hidden="false" customHeight="false" outlineLevel="0" collapsed="false">
      <c r="A149" s="28" t="s">
        <v>1931</v>
      </c>
      <c r="B149" s="58" t="s">
        <v>1926</v>
      </c>
      <c r="C149" s="66" t="n">
        <f aca="false">SUM(E149:P149)</f>
        <v>207.14</v>
      </c>
      <c r="E149" s="133" t="n">
        <v>0.0599999999999454</v>
      </c>
      <c r="F149" s="133" t="n">
        <v>0.0600000000000023</v>
      </c>
      <c r="G149" s="133" t="n">
        <v>0.0550000000000068</v>
      </c>
      <c r="H149" s="133" t="n">
        <v>0.0499999999999545</v>
      </c>
      <c r="I149" s="133" t="n">
        <v>0.0849999999999795</v>
      </c>
      <c r="J149" s="133" t="n">
        <v>32.9400000000001</v>
      </c>
      <c r="K149" s="133" t="n">
        <v>106.52</v>
      </c>
      <c r="L149" s="133" t="n">
        <v>67.37</v>
      </c>
    </row>
    <row r="150" customFormat="false" ht="15" hidden="false" customHeight="false" outlineLevel="0" collapsed="false">
      <c r="A150" s="28" t="s">
        <v>1932</v>
      </c>
      <c r="B150" s="58" t="s">
        <v>1861</v>
      </c>
      <c r="C150" s="59" t="n">
        <f aca="false">SUM(E150:P150)</f>
        <v>145547.87</v>
      </c>
      <c r="E150" s="103" t="n">
        <v>5062.83</v>
      </c>
      <c r="F150" s="103" t="n">
        <v>5921.18</v>
      </c>
      <c r="G150" s="103" t="n">
        <v>5125.2</v>
      </c>
      <c r="H150" s="103" t="n">
        <v>6532.51</v>
      </c>
      <c r="I150" s="103" t="n">
        <v>5209.98</v>
      </c>
      <c r="J150" s="103" t="n">
        <v>25536.25</v>
      </c>
      <c r="K150" s="103" t="n">
        <v>59683.52</v>
      </c>
      <c r="L150" s="103" t="n">
        <v>32476.4</v>
      </c>
    </row>
    <row r="151" customFormat="false" ht="15" hidden="false" customHeight="false" outlineLevel="0" collapsed="false">
      <c r="A151" s="22" t="s">
        <v>1933</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row>
    <row r="152" customFormat="false" ht="15" hidden="false" customHeight="false" outlineLevel="0" collapsed="false">
      <c r="A152" s="28" t="s">
        <v>1934</v>
      </c>
      <c r="B152" s="58" t="s">
        <v>1913</v>
      </c>
      <c r="C152" s="59" t="n">
        <f aca="false">SUM(E152:P152)</f>
        <v>1079409</v>
      </c>
      <c r="E152" s="103" t="n">
        <v>133124</v>
      </c>
      <c r="F152" s="103" t="n">
        <v>132557</v>
      </c>
      <c r="G152" s="103" t="n">
        <v>134790</v>
      </c>
      <c r="H152" s="103" t="n">
        <v>139333</v>
      </c>
      <c r="I152" s="103" t="n">
        <v>132804</v>
      </c>
      <c r="J152" s="103" t="n">
        <v>132502</v>
      </c>
      <c r="K152" s="103" t="n">
        <v>136778</v>
      </c>
      <c r="L152" s="103" t="n">
        <v>137521</v>
      </c>
    </row>
    <row r="153" customFormat="false" ht="15" hidden="false" customHeight="false" outlineLevel="0" collapsed="false">
      <c r="A153" s="28" t="s">
        <v>1101</v>
      </c>
      <c r="B153" s="58" t="s">
        <v>1913</v>
      </c>
      <c r="C153" s="59" t="n">
        <f aca="false">SUM(E153:P153)</f>
        <v>195067</v>
      </c>
      <c r="E153" s="103" t="n">
        <v>24576</v>
      </c>
      <c r="F153" s="103" t="n">
        <v>24425</v>
      </c>
      <c r="G153" s="103" t="n">
        <v>24105</v>
      </c>
      <c r="H153" s="103" t="n">
        <v>24554</v>
      </c>
      <c r="I153" s="103" t="n">
        <v>24215</v>
      </c>
      <c r="J153" s="103" t="n">
        <v>24402</v>
      </c>
      <c r="K153" s="103" t="n">
        <v>24337</v>
      </c>
      <c r="L153" s="103" t="n">
        <v>24453</v>
      </c>
    </row>
    <row r="154" customFormat="false" ht="15" hidden="false" customHeight="false" outlineLevel="0" collapsed="false">
      <c r="A154" s="28" t="s">
        <v>1104</v>
      </c>
      <c r="B154" s="58" t="s">
        <v>1913</v>
      </c>
      <c r="C154" s="59" t="n">
        <f aca="false">AVERAGE(E154:P154)</f>
        <v>5</v>
      </c>
      <c r="E154" s="103" t="n">
        <v>5</v>
      </c>
      <c r="F154" s="103" t="n">
        <v>5</v>
      </c>
      <c r="G154" s="103" t="n">
        <v>5</v>
      </c>
      <c r="H154" s="103" t="n">
        <v>5</v>
      </c>
      <c r="I154" s="103" t="n">
        <v>5</v>
      </c>
      <c r="J154" s="103" t="n">
        <v>5</v>
      </c>
      <c r="K154" s="103" t="n">
        <v>5</v>
      </c>
      <c r="L154" s="103" t="n">
        <v>5</v>
      </c>
    </row>
    <row r="155" customFormat="false" ht="15" hidden="false" customHeight="false" outlineLevel="0" collapsed="false">
      <c r="A155" s="28" t="s">
        <v>1935</v>
      </c>
      <c r="B155" s="58" t="s">
        <v>1913</v>
      </c>
      <c r="C155" s="59" t="n">
        <f aca="false">SUM(E155:P155)</f>
        <v>131500</v>
      </c>
      <c r="E155" s="103" t="n">
        <v>0</v>
      </c>
      <c r="F155" s="103" t="n">
        <v>0</v>
      </c>
      <c r="G155" s="103" t="n">
        <v>131500</v>
      </c>
      <c r="H155" s="103" t="n">
        <v>0</v>
      </c>
      <c r="I155" s="103" t="n">
        <v>0</v>
      </c>
      <c r="J155" s="103" t="n">
        <v>0</v>
      </c>
      <c r="K155" s="103" t="n">
        <v>0</v>
      </c>
      <c r="L155" s="103" t="n">
        <v>0</v>
      </c>
    </row>
    <row r="156" customFormat="false" ht="15" hidden="false" customHeight="false" outlineLevel="0" collapsed="false">
      <c r="A156" s="22" t="s">
        <v>1936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row>
    <row r="157" customFormat="false" ht="15" hidden="false" customHeight="false" outlineLevel="0" collapsed="false">
      <c r="A157" s="28" t="s">
        <v>351</v>
      </c>
      <c r="B157" s="58" t="s">
        <v>1786</v>
      </c>
      <c r="C157" s="59" t="n">
        <f aca="false">SUM(E157:P157)</f>
        <v>74871</v>
      </c>
      <c r="E157" s="103" t="n">
        <v>9198</v>
      </c>
      <c r="F157" s="103" t="n">
        <v>10089</v>
      </c>
      <c r="G157" s="103" t="n">
        <v>10207</v>
      </c>
      <c r="H157" s="103" t="n">
        <v>9251</v>
      </c>
      <c r="I157" s="103" t="n">
        <v>8699</v>
      </c>
      <c r="J157" s="103" t="n">
        <v>9141</v>
      </c>
      <c r="K157" s="103" t="n">
        <v>9100</v>
      </c>
      <c r="L157" s="103" t="n">
        <v>9186</v>
      </c>
    </row>
    <row r="158" customFormat="false" ht="15" hidden="false" customHeight="false" outlineLevel="0" collapsed="false">
      <c r="A158" s="28" t="s">
        <v>352</v>
      </c>
      <c r="B158" s="58" t="s">
        <v>1786</v>
      </c>
      <c r="C158" s="59" t="n">
        <f aca="false">SUM(E158:P158)</f>
        <v>51410</v>
      </c>
      <c r="E158" s="103" t="n">
        <v>6492</v>
      </c>
      <c r="F158" s="103" t="n">
        <v>6219</v>
      </c>
      <c r="G158" s="103" t="n">
        <v>6515</v>
      </c>
      <c r="H158" s="103" t="n">
        <v>6180</v>
      </c>
      <c r="I158" s="103" t="n">
        <v>6716</v>
      </c>
      <c r="J158" s="103" t="n">
        <v>6127</v>
      </c>
      <c r="K158" s="103" t="n">
        <v>6748</v>
      </c>
      <c r="L158" s="103" t="n">
        <v>6413</v>
      </c>
    </row>
    <row r="159" customFormat="false" ht="15" hidden="false" customHeight="false" outlineLevel="0" collapsed="false">
      <c r="A159" s="28" t="s">
        <v>353</v>
      </c>
      <c r="B159" s="58" t="s">
        <v>1786</v>
      </c>
      <c r="C159" s="59" t="n">
        <f aca="false">SUM(E159:P159)</f>
        <v>39657</v>
      </c>
      <c r="E159" s="103" t="n">
        <v>3394</v>
      </c>
      <c r="F159" s="103" t="n">
        <v>6861</v>
      </c>
      <c r="G159" s="103" t="n">
        <v>6969</v>
      </c>
      <c r="H159" s="103" t="n">
        <v>6196</v>
      </c>
      <c r="I159" s="103" t="n">
        <v>6591</v>
      </c>
      <c r="J159" s="103" t="n">
        <v>4368</v>
      </c>
      <c r="K159" s="103" t="n">
        <v>2245</v>
      </c>
      <c r="L159" s="103" t="n">
        <v>3033</v>
      </c>
    </row>
    <row r="160" customFormat="false" ht="15" hidden="false" customHeight="false" outlineLevel="0" collapsed="false">
      <c r="A160" s="28" t="s">
        <v>354</v>
      </c>
      <c r="B160" s="58" t="s">
        <v>1786</v>
      </c>
      <c r="C160" s="59" t="n">
        <f aca="false">SUM(E160:P160)</f>
        <v>30898</v>
      </c>
      <c r="E160" s="103" t="n">
        <v>2068</v>
      </c>
      <c r="F160" s="103" t="n">
        <v>3304</v>
      </c>
      <c r="G160" s="103" t="n">
        <v>3646</v>
      </c>
      <c r="H160" s="103" t="n">
        <v>4548</v>
      </c>
      <c r="I160" s="103" t="n">
        <v>9013</v>
      </c>
      <c r="J160" s="103" t="n">
        <v>4228</v>
      </c>
      <c r="K160" s="103" t="n">
        <v>1510</v>
      </c>
      <c r="L160" s="103" t="n">
        <v>2581</v>
      </c>
    </row>
    <row r="161" customFormat="false" ht="15" hidden="false" customHeight="false" outlineLevel="0" collapsed="false">
      <c r="A161" s="28" t="s">
        <v>355</v>
      </c>
      <c r="B161" s="58" t="s">
        <v>1786</v>
      </c>
      <c r="C161" s="59" t="n">
        <f aca="false">SUM(E161:P161)</f>
        <v>15400</v>
      </c>
      <c r="E161" s="103" t="n">
        <v>800</v>
      </c>
      <c r="F161" s="103" t="n">
        <v>800</v>
      </c>
      <c r="G161" s="103" t="n">
        <v>5300</v>
      </c>
      <c r="H161" s="103" t="n">
        <v>800</v>
      </c>
      <c r="I161" s="103" t="n">
        <v>800</v>
      </c>
      <c r="J161" s="103" t="n">
        <v>800</v>
      </c>
      <c r="K161" s="103" t="n">
        <v>5300</v>
      </c>
      <c r="L161" s="103" t="n">
        <v>800</v>
      </c>
    </row>
    <row r="162" customFormat="false" ht="15" hidden="false" customHeight="false" outlineLevel="0" collapsed="false">
      <c r="A162" s="28" t="s">
        <v>356</v>
      </c>
      <c r="B162" s="58" t="s">
        <v>1786</v>
      </c>
      <c r="C162" s="59" t="n">
        <f aca="false">SUM(E162:P162)</f>
        <v>17774</v>
      </c>
      <c r="E162" s="103" t="n">
        <v>2451</v>
      </c>
      <c r="F162" s="103" t="n">
        <v>2109</v>
      </c>
      <c r="G162" s="103" t="n">
        <v>1927</v>
      </c>
      <c r="H162" s="103" t="n">
        <v>2264</v>
      </c>
      <c r="I162" s="103" t="n">
        <v>2331</v>
      </c>
      <c r="J162" s="103" t="n">
        <v>2140</v>
      </c>
      <c r="K162" s="103" t="n">
        <v>2328</v>
      </c>
      <c r="L162" s="103" t="n">
        <v>2224</v>
      </c>
    </row>
    <row r="163" customFormat="false" ht="15" hidden="false" customHeight="false" outlineLevel="0" collapsed="false">
      <c r="A163" s="28" t="s">
        <v>357</v>
      </c>
      <c r="B163" s="58" t="s">
        <v>1786</v>
      </c>
      <c r="C163" s="59" t="n">
        <f aca="false">SUM(E163:P163)</f>
        <v>21127</v>
      </c>
      <c r="E163" s="103" t="n">
        <v>2542</v>
      </c>
      <c r="F163" s="103" t="n">
        <v>2755</v>
      </c>
      <c r="G163" s="103" t="n">
        <v>2762</v>
      </c>
      <c r="H163" s="103" t="n">
        <v>2741</v>
      </c>
      <c r="I163" s="103" t="n">
        <v>2746</v>
      </c>
      <c r="J163" s="103" t="n">
        <v>2612</v>
      </c>
      <c r="K163" s="103" t="n">
        <v>2401</v>
      </c>
      <c r="L163" s="103" t="n">
        <v>2568</v>
      </c>
    </row>
    <row r="164" customFormat="false" ht="15" hidden="false" customHeight="false" outlineLevel="0" collapsed="false">
      <c r="A164" s="28" t="s">
        <v>358</v>
      </c>
      <c r="B164" s="58" t="s">
        <v>1786</v>
      </c>
      <c r="C164" s="59" t="n">
        <f aca="false">SUM(E164:P164)</f>
        <v>6928</v>
      </c>
      <c r="E164" s="103" t="n">
        <v>892</v>
      </c>
      <c r="F164" s="103" t="n">
        <v>811</v>
      </c>
      <c r="G164" s="103" t="n">
        <v>940</v>
      </c>
      <c r="H164" s="103" t="n">
        <v>894</v>
      </c>
      <c r="I164" s="103" t="n">
        <v>821</v>
      </c>
      <c r="J164" s="103" t="n">
        <v>944</v>
      </c>
      <c r="K164" s="103" t="n">
        <v>798</v>
      </c>
      <c r="L164" s="103" t="n">
        <v>828</v>
      </c>
    </row>
    <row r="165" customFormat="false" ht="15" hidden="false" customHeight="false" outlineLevel="0" collapsed="false">
      <c r="A165" s="28" t="s">
        <v>359</v>
      </c>
      <c r="B165" s="58" t="s">
        <v>1786</v>
      </c>
      <c r="C165" s="59" t="n">
        <f aca="false">SUM(E165:P165)</f>
        <v>15745</v>
      </c>
      <c r="E165" s="103" t="n">
        <v>2141</v>
      </c>
      <c r="F165" s="103" t="n">
        <v>2044</v>
      </c>
      <c r="G165" s="103" t="n">
        <v>1753</v>
      </c>
      <c r="H165" s="103" t="n">
        <v>2033</v>
      </c>
      <c r="I165" s="103" t="n">
        <v>1969</v>
      </c>
      <c r="J165" s="103" t="n">
        <v>1948</v>
      </c>
      <c r="K165" s="103" t="n">
        <v>2051</v>
      </c>
      <c r="L165" s="103" t="n">
        <v>1806</v>
      </c>
    </row>
    <row r="166" customFormat="false" ht="15" hidden="false" customHeight="false" outlineLevel="0" collapsed="false">
      <c r="A166" s="28" t="s">
        <v>360</v>
      </c>
      <c r="B166" s="58" t="s">
        <v>1786</v>
      </c>
      <c r="C166" s="59" t="n">
        <f aca="false">SUM(E166:P166)</f>
        <v>15064</v>
      </c>
      <c r="E166" s="103" t="n">
        <v>1684</v>
      </c>
      <c r="F166" s="103" t="n">
        <v>1670</v>
      </c>
      <c r="G166" s="103" t="n">
        <v>2012</v>
      </c>
      <c r="H166" s="103" t="n">
        <v>1831</v>
      </c>
      <c r="I166" s="103" t="n">
        <v>2054</v>
      </c>
      <c r="J166" s="103" t="n">
        <v>2015</v>
      </c>
      <c r="K166" s="103" t="n">
        <v>1685</v>
      </c>
      <c r="L166" s="103" t="n">
        <v>2113</v>
      </c>
    </row>
    <row r="167" customFormat="false" ht="15" hidden="false" customHeight="false" outlineLevel="0" collapsed="false">
      <c r="A167" s="28" t="s">
        <v>361</v>
      </c>
      <c r="B167" s="58" t="s">
        <v>1786</v>
      </c>
      <c r="C167" s="59" t="n">
        <f aca="false">SUM(E167:P167)</f>
        <v>8904</v>
      </c>
      <c r="E167" s="103" t="n">
        <v>1283</v>
      </c>
      <c r="F167" s="103" t="n">
        <v>978</v>
      </c>
      <c r="G167" s="103" t="n">
        <v>1053</v>
      </c>
      <c r="H167" s="103" t="n">
        <v>1177</v>
      </c>
      <c r="I167" s="103" t="n">
        <v>1138</v>
      </c>
      <c r="J167" s="103" t="n">
        <v>1127</v>
      </c>
      <c r="K167" s="103" t="n">
        <v>1120</v>
      </c>
      <c r="L167" s="103" t="n">
        <v>1028</v>
      </c>
    </row>
    <row r="168" customFormat="false" ht="15" hidden="false" customHeight="false" outlineLevel="0" collapsed="false">
      <c r="A168" s="28" t="s">
        <v>1937</v>
      </c>
      <c r="B168" s="58" t="s">
        <v>1786</v>
      </c>
      <c r="C168" s="59" t="n">
        <f aca="false">SUM(E168:P168)</f>
        <v>7240.65</v>
      </c>
      <c r="E168" s="103" t="n">
        <v>0</v>
      </c>
      <c r="F168" s="103" t="n">
        <v>0</v>
      </c>
      <c r="G168" s="103" t="n">
        <v>0</v>
      </c>
      <c r="H168" s="103" t="n">
        <v>0</v>
      </c>
      <c r="I168" s="103" t="n">
        <v>0</v>
      </c>
      <c r="J168" s="103" t="n">
        <v>7240.65</v>
      </c>
      <c r="K168" s="103" t="n">
        <v>0</v>
      </c>
      <c r="L168" s="103" t="n">
        <v>0</v>
      </c>
    </row>
    <row r="169" customFormat="false" ht="15" hidden="false" customHeight="false" outlineLevel="0" collapsed="false">
      <c r="A169" s="28" t="s">
        <v>1938</v>
      </c>
      <c r="B169" s="58" t="s">
        <v>1939</v>
      </c>
      <c r="C169" s="59" t="n">
        <f aca="false">SUM(E169:P169)</f>
        <v>22000</v>
      </c>
      <c r="E169" s="103" t="n">
        <v>2600</v>
      </c>
      <c r="F169" s="103" t="n">
        <v>1400</v>
      </c>
      <c r="G169" s="103" t="n">
        <v>3100</v>
      </c>
      <c r="H169" s="103" t="n">
        <v>5200</v>
      </c>
      <c r="I169" s="103" t="n">
        <v>900</v>
      </c>
      <c r="J169" s="103" t="n">
        <v>2400</v>
      </c>
      <c r="K169" s="103" t="n">
        <v>4800</v>
      </c>
      <c r="L169" s="103" t="n">
        <v>1600</v>
      </c>
    </row>
    <row r="170" customFormat="false" ht="15" hidden="false" customHeight="false" outlineLevel="0" collapsed="false">
      <c r="A170" s="28" t="s">
        <v>1940</v>
      </c>
      <c r="B170" s="58" t="s">
        <v>1939</v>
      </c>
      <c r="C170" s="59" t="n">
        <f aca="false">SUM(E170:P170)</f>
        <v>0</v>
      </c>
      <c r="E170" s="103" t="n">
        <v>0</v>
      </c>
      <c r="F170" s="103" t="n">
        <v>0</v>
      </c>
      <c r="G170" s="103" t="n">
        <v>0</v>
      </c>
      <c r="H170" s="103" t="n">
        <v>0</v>
      </c>
      <c r="I170" s="103" t="n">
        <v>0</v>
      </c>
      <c r="J170" s="103" t="n">
        <v>0</v>
      </c>
      <c r="K170" s="103" t="n">
        <v>0</v>
      </c>
      <c r="L170" s="103" t="n">
        <v>0</v>
      </c>
    </row>
    <row r="171" customFormat="false" ht="15" hidden="false" customHeight="false" outlineLevel="0" collapsed="false">
      <c r="A171" s="22" t="s">
        <v>1941</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row>
    <row r="172" customFormat="false" ht="15" hidden="false" customHeight="false" outlineLevel="0" collapsed="false">
      <c r="A172" s="28" t="s">
        <v>1942</v>
      </c>
      <c r="B172" s="58" t="s">
        <v>1893</v>
      </c>
      <c r="C172" s="59" t="n">
        <f aca="false">SUM(E172:P172)</f>
        <v>155664.3</v>
      </c>
      <c r="E172" s="103" t="n">
        <v>23309.71</v>
      </c>
      <c r="F172" s="103" t="n">
        <v>5812.3</v>
      </c>
      <c r="G172" s="103" t="n">
        <v>6536.96</v>
      </c>
      <c r="H172" s="103" t="n">
        <v>6054.52</v>
      </c>
      <c r="I172" s="103" t="n">
        <v>6387.02</v>
      </c>
      <c r="J172" s="103" t="n">
        <v>11482.73</v>
      </c>
      <c r="K172" s="103" t="n">
        <v>38207.84</v>
      </c>
      <c r="L172" s="103" t="n">
        <v>57873.22</v>
      </c>
    </row>
    <row r="173" customFormat="false" ht="15" hidden="false" customHeight="false" outlineLevel="0" collapsed="false">
      <c r="A173" s="28" t="s">
        <v>1943</v>
      </c>
      <c r="B173" s="58" t="s">
        <v>1893</v>
      </c>
      <c r="C173" s="59" t="n">
        <f aca="false">SUM(E173:P173)</f>
        <v>1679030.66</v>
      </c>
      <c r="E173" s="103" t="n">
        <v>160513.37</v>
      </c>
      <c r="F173" s="103" t="n">
        <v>194305.35</v>
      </c>
      <c r="G173" s="103" t="n">
        <v>194859.5</v>
      </c>
      <c r="H173" s="103" t="n">
        <v>210132.63</v>
      </c>
      <c r="I173" s="103" t="n">
        <v>243567.19</v>
      </c>
      <c r="J173" s="103" t="n">
        <v>255796.31</v>
      </c>
      <c r="K173" s="103" t="n">
        <v>232273.71</v>
      </c>
      <c r="L173" s="103" t="n">
        <v>187582.6</v>
      </c>
    </row>
    <row r="174" customFormat="false" ht="15" hidden="false" customHeight="false" outlineLevel="0" collapsed="false">
      <c r="A174" s="28" t="s">
        <v>1944</v>
      </c>
      <c r="B174" s="58" t="s">
        <v>1893</v>
      </c>
      <c r="C174" s="59" t="n">
        <f aca="false">SUM(E174:P174)</f>
        <v>5240.66</v>
      </c>
      <c r="E174" s="103" t="n">
        <v>0</v>
      </c>
      <c r="F174" s="103" t="n">
        <v>0</v>
      </c>
      <c r="G174" s="103" t="n">
        <v>0</v>
      </c>
      <c r="H174" s="103" t="n">
        <v>0</v>
      </c>
      <c r="I174" s="103" t="n">
        <v>0</v>
      </c>
      <c r="J174" s="103" t="n">
        <v>0</v>
      </c>
      <c r="K174" s="103" t="n">
        <v>16.72</v>
      </c>
      <c r="L174" s="103" t="n">
        <v>5223.94</v>
      </c>
    </row>
    <row r="175" customFormat="false" ht="15" hidden="false" customHeight="false" outlineLevel="0" collapsed="false">
      <c r="A175" s="28" t="s">
        <v>1945</v>
      </c>
      <c r="B175" s="58" t="s">
        <v>1893</v>
      </c>
      <c r="C175" s="59" t="n">
        <f aca="false">SUM(E175:P175)</f>
        <v>345426.85</v>
      </c>
      <c r="E175" s="103" t="n">
        <v>37789.4</v>
      </c>
      <c r="F175" s="103" t="n">
        <v>41784.96</v>
      </c>
      <c r="G175" s="103" t="n">
        <v>41958.93</v>
      </c>
      <c r="H175" s="103" t="n">
        <v>53072.1</v>
      </c>
      <c r="I175" s="103" t="n">
        <v>46559.27</v>
      </c>
      <c r="J175" s="103" t="n">
        <v>45029.6</v>
      </c>
      <c r="K175" s="103" t="n">
        <v>39146.74</v>
      </c>
      <c r="L175" s="103" t="n">
        <v>40085.85</v>
      </c>
    </row>
    <row r="176" customFormat="false" ht="15" hidden="false" customHeight="false" outlineLevel="0" collapsed="false">
      <c r="A176" s="28" t="s">
        <v>1405</v>
      </c>
      <c r="B176" s="58" t="s">
        <v>1946</v>
      </c>
      <c r="C176" s="59" t="n">
        <f aca="false">SUM(E176:P176)</f>
        <v>280000</v>
      </c>
      <c r="E176" s="103" t="n">
        <v>0</v>
      </c>
      <c r="F176" s="103" t="n">
        <v>0</v>
      </c>
      <c r="G176" s="103" t="n">
        <v>0</v>
      </c>
      <c r="H176" s="103" t="n">
        <v>0</v>
      </c>
      <c r="I176" s="103" t="n">
        <v>0</v>
      </c>
      <c r="J176" s="103" t="n">
        <v>280000</v>
      </c>
      <c r="K176" s="103" t="n">
        <v>0</v>
      </c>
      <c r="L176" s="103" t="n">
        <v>0</v>
      </c>
    </row>
    <row r="177" customFormat="false" ht="15" hidden="false" customHeight="false" outlineLevel="0" collapsed="false">
      <c r="A177" s="28" t="s">
        <v>1947</v>
      </c>
      <c r="B177" s="58" t="s">
        <v>1948</v>
      </c>
      <c r="C177" s="59" t="n">
        <f aca="false">SUM(E177:P177)</f>
        <v>78974.36</v>
      </c>
      <c r="E177" s="103" t="n">
        <v>0</v>
      </c>
      <c r="F177" s="103" t="n">
        <v>0</v>
      </c>
      <c r="G177" s="103" t="n">
        <v>0</v>
      </c>
      <c r="H177" s="103" t="n">
        <v>0</v>
      </c>
      <c r="I177" s="103" t="n">
        <v>0</v>
      </c>
      <c r="J177" s="103" t="n">
        <v>78974.36</v>
      </c>
      <c r="K177" s="103" t="n">
        <v>0</v>
      </c>
      <c r="L177" s="103" t="n">
        <v>0</v>
      </c>
    </row>
    <row r="178" customFormat="false" ht="15" hidden="false" customHeight="false" outlineLevel="0" collapsed="false">
      <c r="A178" s="22" t="s">
        <v>1949</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row>
    <row r="179" customFormat="false" ht="15" hidden="false" customHeight="false" outlineLevel="0" collapsed="false">
      <c r="A179" s="28" t="s">
        <v>325</v>
      </c>
      <c r="B179" s="58" t="s">
        <v>1950</v>
      </c>
      <c r="C179" s="103" t="n">
        <v>486000</v>
      </c>
    </row>
    <row r="180" customFormat="false" ht="15" hidden="false" customHeight="false" outlineLevel="0" collapsed="false">
      <c r="A180" s="28" t="s">
        <v>381</v>
      </c>
      <c r="B180" s="58" t="s">
        <v>1950</v>
      </c>
      <c r="C180" s="103" t="n">
        <v>38000</v>
      </c>
    </row>
    <row r="181" customFormat="false" ht="15" hidden="false" customHeight="false" outlineLevel="0" collapsed="false">
      <c r="A181" s="28" t="s">
        <v>1951</v>
      </c>
      <c r="B181" s="58" t="s">
        <v>1950</v>
      </c>
      <c r="C181" s="103" t="n">
        <v>142000</v>
      </c>
    </row>
    <row r="182" customFormat="false" ht="15" hidden="false" customHeight="false" outlineLevel="0" collapsed="false">
      <c r="A182" s="28" t="s">
        <v>1952</v>
      </c>
      <c r="B182" s="58" t="s">
        <v>1950</v>
      </c>
      <c r="C182" s="103" t="n">
        <v>78000</v>
      </c>
    </row>
    <row r="183" customFormat="false" ht="15" hidden="false" customHeight="false" outlineLevel="0" collapsed="false">
      <c r="A183" s="28" t="s">
        <v>1953</v>
      </c>
      <c r="B183" s="58" t="s">
        <v>1950</v>
      </c>
      <c r="C183" s="103" t="n">
        <v>118000</v>
      </c>
    </row>
    <row r="184" customFormat="false" ht="15" hidden="false" customHeight="false" outlineLevel="0" collapsed="false">
      <c r="A184" s="28" t="s">
        <v>1954</v>
      </c>
      <c r="B184" s="58" t="s">
        <v>1950</v>
      </c>
      <c r="C184" s="103" t="n">
        <v>41000</v>
      </c>
    </row>
    <row r="185" customFormat="false" ht="15" hidden="false" customHeight="false" outlineLevel="0" collapsed="false">
      <c r="A185" s="28" t="s">
        <v>386</v>
      </c>
      <c r="B185" s="58" t="s">
        <v>1950</v>
      </c>
      <c r="C185" s="103" t="n">
        <v>21400</v>
      </c>
    </row>
    <row r="186" customFormat="false" ht="15" hidden="false" customHeight="false" outlineLevel="0" collapsed="false">
      <c r="A186" s="28" t="s">
        <v>387</v>
      </c>
      <c r="B186" s="58" t="s">
        <v>1950</v>
      </c>
      <c r="C186" s="103" t="n">
        <v>158000</v>
      </c>
    </row>
    <row r="187" customFormat="false" ht="15" hidden="false" customHeight="false" outlineLevel="0" collapsed="false">
      <c r="A187" s="28" t="s">
        <v>388</v>
      </c>
      <c r="B187" s="58" t="s">
        <v>1950</v>
      </c>
      <c r="C187" s="103" t="n">
        <v>0</v>
      </c>
    </row>
    <row r="188" customFormat="false" ht="15" hidden="false" customHeight="false" outlineLevel="0" collapsed="false">
      <c r="A188" s="28" t="s">
        <v>389</v>
      </c>
      <c r="B188" s="58" t="s">
        <v>1950</v>
      </c>
      <c r="C188" s="103" t="n">
        <v>24300</v>
      </c>
    </row>
    <row r="189" customFormat="false" ht="15" hidden="false" customHeight="false" outlineLevel="0" collapsed="false">
      <c r="A189" s="28" t="s">
        <v>1955</v>
      </c>
      <c r="B189" s="58" t="s">
        <v>1950</v>
      </c>
      <c r="C189" s="103" t="n">
        <v>86983.07</v>
      </c>
    </row>
    <row r="190" customFormat="false" ht="15" hidden="false" customHeight="false" outlineLevel="0" collapsed="false">
      <c r="A190" s="28" t="s">
        <v>1956</v>
      </c>
      <c r="B190" s="58" t="s">
        <v>1950</v>
      </c>
      <c r="C190" s="103" t="n">
        <v>3800</v>
      </c>
    </row>
    <row r="191" customFormat="false" ht="15" hidden="false" customHeight="false" outlineLevel="0" collapsed="false">
      <c r="A191" s="28" t="s">
        <v>1957</v>
      </c>
      <c r="B191" s="58" t="s">
        <v>1950</v>
      </c>
      <c r="C191" s="103" t="n">
        <v>131500</v>
      </c>
    </row>
    <row r="192" customFormat="false" ht="15" hidden="false" customHeight="false" outlineLevel="0" collapsed="false">
      <c r="A192" s="28" t="s">
        <v>1958</v>
      </c>
      <c r="B192" s="58" t="s">
        <v>1950</v>
      </c>
      <c r="C192" s="103" t="n">
        <v>108000</v>
      </c>
    </row>
    <row r="193" customFormat="false" ht="15" hidden="false" customHeight="false" outlineLevel="0" collapsed="false">
      <c r="A193" s="28" t="s">
        <v>393</v>
      </c>
      <c r="B193" s="58" t="s">
        <v>1950</v>
      </c>
      <c r="C193" s="103" t="n">
        <v>0</v>
      </c>
    </row>
    <row r="194" customFormat="false" ht="15" hidden="false" customHeight="false" outlineLevel="0" collapsed="false">
      <c r="A194" s="28" t="s">
        <v>398</v>
      </c>
      <c r="B194" s="58" t="s">
        <v>1950</v>
      </c>
      <c r="C194" s="103" t="n">
        <v>2600</v>
      </c>
    </row>
    <row r="195" customFormat="false" ht="15" hidden="false" customHeight="false" outlineLevel="0" collapsed="false">
      <c r="A195" s="28" t="s">
        <v>403</v>
      </c>
      <c r="B195" s="58" t="s">
        <v>1950</v>
      </c>
      <c r="C195" s="103" t="n">
        <v>775512.01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4" min="3" style="0" width="13"/>
    <col collapsed="false" customWidth="true" hidden="false" outlineLevel="0" max="16" min="5" style="0" width="11.5"/>
  </cols>
  <sheetData>
    <row r="1" customFormat="false" ht="15" hidden="false" customHeight="false" outlineLevel="0" collapsed="false">
      <c r="A1" s="20" t="str">
        <f aca="false">Assumptions!$C$6</f>
        <v>Kaldmere Studio OÜ (fictional demonstration company)</v>
      </c>
    </row>
    <row r="2" customFormat="false" ht="17.35" hidden="false" customHeight="false" outlineLevel="0" collapsed="false">
      <c r="A2" s="21" t="s">
        <v>1959</v>
      </c>
    </row>
    <row r="3" customFormat="false" ht="15" hidden="false" customHeight="false" outlineLevel="0" collapsed="false">
      <c r="A3" s="49" t="s">
        <v>1960</v>
      </c>
    </row>
    <row r="4" customFormat="false" ht="15" hidden="false" customHeight="false" outlineLevel="0" collapsed="false">
      <c r="A4" s="50" t="s">
        <v>289</v>
      </c>
      <c r="B4" s="50" t="s">
        <v>290</v>
      </c>
      <c r="C4" s="51" t="s">
        <v>291</v>
      </c>
      <c r="D4" s="51"/>
      <c r="E4" s="52" t="n">
        <f aca="false">Assumptions!E$98</f>
        <v>46053</v>
      </c>
      <c r="F4" s="52" t="n">
        <f aca="false">Assumptions!F$98</f>
        <v>46081</v>
      </c>
      <c r="G4" s="52" t="n">
        <f aca="false">Assumptions!G$98</f>
        <v>46112</v>
      </c>
      <c r="H4" s="52" t="n">
        <f aca="false">Assumptions!H$98</f>
        <v>46142</v>
      </c>
      <c r="I4" s="52" t="n">
        <f aca="false">Assumptions!I$98</f>
        <v>46173</v>
      </c>
      <c r="J4" s="52" t="n">
        <f aca="false">Assumptions!J$98</f>
        <v>46203</v>
      </c>
      <c r="K4" s="52" t="n">
        <f aca="false">Assumptions!K$98</f>
        <v>46234</v>
      </c>
      <c r="L4" s="52" t="n">
        <f aca="false">Assumptions!L$98</f>
        <v>46265</v>
      </c>
      <c r="M4" s="52" t="n">
        <f aca="false">Assumptions!M$98</f>
        <v>46295</v>
      </c>
      <c r="N4" s="52" t="n">
        <f aca="false">Assumptions!N$98</f>
        <v>46326</v>
      </c>
      <c r="O4" s="52" t="n">
        <f aca="false">Assumptions!O$98</f>
        <v>46356</v>
      </c>
      <c r="P4" s="52" t="n">
        <f aca="false">Assumptions!P$98</f>
        <v>46387</v>
      </c>
    </row>
    <row r="5" customFormat="false" ht="15" hidden="false" customHeight="false" outlineLevel="0" collapsed="false">
      <c r="A5" s="53" t="s">
        <v>293</v>
      </c>
      <c r="B5" s="54"/>
      <c r="C5" s="55" t="s">
        <v>294</v>
      </c>
      <c r="D5" s="55"/>
      <c r="E5" s="55" t="str">
        <f aca="false">Assumptions!E$100</f>
        <v>A</v>
      </c>
      <c r="F5" s="55" t="str">
        <f aca="false">Assumptions!F$100</f>
        <v>A</v>
      </c>
      <c r="G5" s="55" t="str">
        <f aca="false">Assumptions!G$100</f>
        <v>A</v>
      </c>
      <c r="H5" s="55" t="str">
        <f aca="false">Assumptions!H$100</f>
        <v>A</v>
      </c>
      <c r="I5" s="55" t="str">
        <f aca="false">Assumptions!I$100</f>
        <v>A</v>
      </c>
      <c r="J5" s="55" t="str">
        <f aca="false">Assumptions!J$100</f>
        <v>A</v>
      </c>
      <c r="K5" s="55" t="str">
        <f aca="false">Assumptions!K$100</f>
        <v>A</v>
      </c>
      <c r="L5" s="55" t="str">
        <f aca="false">Assumptions!L$100</f>
        <v>A</v>
      </c>
      <c r="M5" s="55" t="str">
        <f aca="false">Assumptions!M$100</f>
        <v>F</v>
      </c>
      <c r="N5" s="55" t="str">
        <f aca="false">Assumptions!N$100</f>
        <v>F</v>
      </c>
      <c r="O5" s="55" t="str">
        <f aca="false">Assumptions!O$100</f>
        <v>F</v>
      </c>
      <c r="P5" s="55" t="str">
        <f aca="false">Assumptions!P$100</f>
        <v>F</v>
      </c>
    </row>
    <row r="6" customFormat="false" ht="15" hidden="false" customHeight="false" outlineLevel="0" collapsed="false">
      <c r="A6" s="56" t="s">
        <v>296</v>
      </c>
      <c r="E6" s="57" t="n">
        <f aca="false">Assumptions!E$99</f>
        <v>1</v>
      </c>
      <c r="F6" s="57" t="n">
        <f aca="false">Assumptions!F$99</f>
        <v>2</v>
      </c>
      <c r="G6" s="57" t="n">
        <f aca="false">Assumptions!G$99</f>
        <v>3</v>
      </c>
      <c r="H6" s="57" t="n">
        <f aca="false">Assumptions!H$99</f>
        <v>4</v>
      </c>
      <c r="I6" s="57" t="n">
        <f aca="false">Assumptions!I$99</f>
        <v>5</v>
      </c>
      <c r="J6" s="57" t="n">
        <f aca="false">Assumptions!J$99</f>
        <v>6</v>
      </c>
      <c r="K6" s="57" t="n">
        <f aca="false">Assumptions!K$99</f>
        <v>7</v>
      </c>
      <c r="L6" s="57" t="n">
        <f aca="false">Assumptions!L$99</f>
        <v>8</v>
      </c>
      <c r="M6" s="57" t="n">
        <f aca="false">Assumptions!M$99</f>
        <v>9</v>
      </c>
      <c r="N6" s="57" t="n">
        <f aca="false">Assumptions!N$99</f>
        <v>10</v>
      </c>
      <c r="O6" s="57" t="n">
        <f aca="false">Assumptions!O$99</f>
        <v>11</v>
      </c>
      <c r="P6" s="57" t="n">
        <f aca="false">Assumptions!P$99</f>
        <v>12</v>
      </c>
    </row>
    <row r="8" customFormat="false" ht="15" hidden="false" customHeight="false" outlineLevel="0" collapsed="false">
      <c r="A8" s="22" t="s">
        <v>472</v>
      </c>
      <c r="B8" s="23"/>
      <c r="C8" s="23"/>
      <c r="D8" s="23"/>
      <c r="E8" s="23"/>
      <c r="F8" s="23"/>
      <c r="G8" s="23"/>
      <c r="H8" s="23"/>
      <c r="I8" s="23"/>
      <c r="J8" s="23"/>
      <c r="K8" s="23"/>
      <c r="L8" s="23"/>
      <c r="M8" s="23"/>
      <c r="N8" s="23"/>
      <c r="O8" s="23"/>
      <c r="P8" s="23"/>
    </row>
    <row r="9" customFormat="false" ht="15" hidden="false" customHeight="false" outlineLevel="0" collapsed="false">
      <c r="A9" s="28" t="s">
        <v>473</v>
      </c>
      <c r="B9" s="58" t="s">
        <v>1961</v>
      </c>
      <c r="C9" s="66" t="n">
        <f aca="false">SUM(E9:P9)</f>
        <v>24360</v>
      </c>
      <c r="E9" s="133" t="n">
        <v>2030</v>
      </c>
      <c r="F9" s="133" t="n">
        <v>2030</v>
      </c>
      <c r="G9" s="133" t="n">
        <v>2030</v>
      </c>
      <c r="H9" s="133" t="n">
        <v>2030</v>
      </c>
      <c r="I9" s="133" t="n">
        <v>2030</v>
      </c>
      <c r="J9" s="133" t="n">
        <v>2030</v>
      </c>
      <c r="K9" s="133" t="n">
        <v>2030</v>
      </c>
      <c r="L9" s="133" t="n">
        <v>2030</v>
      </c>
      <c r="M9" s="133" t="n">
        <v>2030</v>
      </c>
      <c r="N9" s="133" t="n">
        <v>2030</v>
      </c>
      <c r="O9" s="133" t="n">
        <v>2030</v>
      </c>
      <c r="P9" s="133" t="n">
        <v>2030</v>
      </c>
    </row>
    <row r="10" customFormat="false" ht="15" hidden="false" customHeight="false" outlineLevel="0" collapsed="false">
      <c r="A10" s="28" t="s">
        <v>474</v>
      </c>
      <c r="B10" s="58" t="s">
        <v>1961</v>
      </c>
      <c r="C10" s="66" t="n">
        <f aca="false">SUM(E10:P10)</f>
        <v>11891</v>
      </c>
      <c r="E10" s="133" t="n">
        <v>913</v>
      </c>
      <c r="F10" s="133" t="n">
        <v>978</v>
      </c>
      <c r="G10" s="133" t="n">
        <v>1043</v>
      </c>
      <c r="H10" s="133" t="n">
        <v>1000</v>
      </c>
      <c r="I10" s="133" t="n">
        <v>957</v>
      </c>
      <c r="J10" s="133" t="n">
        <v>1022</v>
      </c>
      <c r="K10" s="133" t="n">
        <v>913</v>
      </c>
      <c r="L10" s="133" t="n">
        <v>935</v>
      </c>
      <c r="M10" s="133" t="n">
        <v>1087</v>
      </c>
      <c r="N10" s="133" t="n">
        <v>1130</v>
      </c>
      <c r="O10" s="133" t="n">
        <v>1065</v>
      </c>
      <c r="P10" s="133" t="n">
        <v>848</v>
      </c>
    </row>
    <row r="11" customFormat="false" ht="15" hidden="false" customHeight="false" outlineLevel="0" collapsed="false">
      <c r="A11" s="28" t="s">
        <v>475</v>
      </c>
      <c r="B11" s="58" t="s">
        <v>1961</v>
      </c>
      <c r="C11" s="66" t="n">
        <f aca="false">SUM(E11:P11)</f>
        <v>5652</v>
      </c>
      <c r="E11" s="133" t="n">
        <v>494</v>
      </c>
      <c r="F11" s="133" t="n">
        <v>475</v>
      </c>
      <c r="G11" s="133" t="n">
        <v>514</v>
      </c>
      <c r="H11" s="133" t="n">
        <v>488</v>
      </c>
      <c r="I11" s="133" t="n">
        <v>488</v>
      </c>
      <c r="J11" s="133" t="n">
        <v>449</v>
      </c>
      <c r="K11" s="133" t="n">
        <v>364</v>
      </c>
      <c r="L11" s="133" t="n">
        <v>442</v>
      </c>
      <c r="M11" s="133" t="n">
        <v>514</v>
      </c>
      <c r="N11" s="133" t="n">
        <v>533</v>
      </c>
      <c r="O11" s="133" t="n">
        <v>494</v>
      </c>
      <c r="P11" s="133" t="n">
        <v>397</v>
      </c>
    </row>
    <row r="12" customFormat="false" ht="15" hidden="false" customHeight="false" outlineLevel="0" collapsed="false">
      <c r="A12" s="28" t="s">
        <v>476</v>
      </c>
      <c r="B12" s="58" t="s">
        <v>1961</v>
      </c>
      <c r="C12" s="66" t="n">
        <f aca="false">SUM(E12:P12)</f>
        <v>2940</v>
      </c>
      <c r="E12" s="133" t="n">
        <v>245</v>
      </c>
      <c r="F12" s="133" t="n">
        <v>245</v>
      </c>
      <c r="G12" s="133" t="n">
        <v>245</v>
      </c>
      <c r="H12" s="133" t="n">
        <v>245</v>
      </c>
      <c r="I12" s="133" t="n">
        <v>245</v>
      </c>
      <c r="J12" s="133" t="n">
        <v>245</v>
      </c>
      <c r="K12" s="133" t="n">
        <v>245</v>
      </c>
      <c r="L12" s="133" t="n">
        <v>245</v>
      </c>
      <c r="M12" s="133" t="n">
        <v>245</v>
      </c>
      <c r="N12" s="133" t="n">
        <v>245</v>
      </c>
      <c r="O12" s="133" t="n">
        <v>245</v>
      </c>
      <c r="P12" s="133" t="n">
        <v>245</v>
      </c>
    </row>
    <row r="13" customFormat="false" ht="15" hidden="false" customHeight="false" outlineLevel="0" collapsed="false">
      <c r="A13" s="68" t="s">
        <v>1962</v>
      </c>
      <c r="B13" s="69"/>
      <c r="C13" s="114" t="n">
        <f aca="false">SUM(E13:P13)</f>
        <v>44843</v>
      </c>
      <c r="D13" s="153"/>
      <c r="E13" s="114" t="n">
        <f aca="false">E9+E10+E11+E12</f>
        <v>3682</v>
      </c>
      <c r="F13" s="114" t="n">
        <f aca="false">F9+F10+F11+F12</f>
        <v>3728</v>
      </c>
      <c r="G13" s="114" t="n">
        <f aca="false">G9+G10+G11+G12</f>
        <v>3832</v>
      </c>
      <c r="H13" s="114" t="n">
        <f aca="false">H9+H10+H11+H12</f>
        <v>3763</v>
      </c>
      <c r="I13" s="114" t="n">
        <f aca="false">I9+I10+I11+I12</f>
        <v>3720</v>
      </c>
      <c r="J13" s="114" t="n">
        <f aca="false">J9+J10+J11+J12</f>
        <v>3746</v>
      </c>
      <c r="K13" s="114" t="n">
        <f aca="false">K9+K10+K11+K12</f>
        <v>3552</v>
      </c>
      <c r="L13" s="114" t="n">
        <f aca="false">L9+L10+L11+L12</f>
        <v>3652</v>
      </c>
      <c r="M13" s="114" t="n">
        <f aca="false">M9+M10+M11+M12</f>
        <v>3876</v>
      </c>
      <c r="N13" s="114" t="n">
        <f aca="false">N9+N10+N11+N12</f>
        <v>3938</v>
      </c>
      <c r="O13" s="114" t="n">
        <f aca="false">O9+O10+O11+O12</f>
        <v>3834</v>
      </c>
      <c r="P13" s="114" t="n">
        <f aca="false">P9+P10+P11+P12</f>
        <v>3520</v>
      </c>
    </row>
    <row r="14" customFormat="false" ht="15" hidden="false" customHeight="false" outlineLevel="0" collapsed="false">
      <c r="A14" s="22" t="s">
        <v>1963</v>
      </c>
      <c r="B14" s="23"/>
      <c r="C14" s="23"/>
      <c r="D14" s="23"/>
      <c r="E14" s="23"/>
      <c r="F14" s="23"/>
      <c r="G14" s="23"/>
      <c r="H14" s="23"/>
      <c r="I14" s="23"/>
      <c r="J14" s="23"/>
      <c r="K14" s="23"/>
      <c r="L14" s="23"/>
      <c r="M14" s="23"/>
      <c r="N14" s="23"/>
      <c r="O14" s="23"/>
      <c r="P14" s="23"/>
    </row>
    <row r="15" customFormat="false" ht="15" hidden="false" customHeight="false" outlineLevel="0" collapsed="false">
      <c r="A15" s="28" t="s">
        <v>331</v>
      </c>
      <c r="B15" s="58" t="s">
        <v>1961</v>
      </c>
      <c r="C15" s="59" t="n">
        <f aca="false">SUM(E15:P15)</f>
        <v>2265972</v>
      </c>
      <c r="E15" s="103" t="n">
        <v>188831</v>
      </c>
      <c r="F15" s="103" t="n">
        <v>188831</v>
      </c>
      <c r="G15" s="103" t="n">
        <v>188831</v>
      </c>
      <c r="H15" s="103" t="n">
        <v>188831</v>
      </c>
      <c r="I15" s="103" t="n">
        <v>188831</v>
      </c>
      <c r="J15" s="103" t="n">
        <v>188831</v>
      </c>
      <c r="K15" s="103" t="n">
        <v>188831</v>
      </c>
      <c r="L15" s="103" t="n">
        <v>188831</v>
      </c>
      <c r="M15" s="103" t="n">
        <v>188831</v>
      </c>
      <c r="N15" s="103" t="n">
        <v>188831</v>
      </c>
      <c r="O15" s="103" t="n">
        <v>188831</v>
      </c>
      <c r="P15" s="103" t="n">
        <v>188831</v>
      </c>
    </row>
    <row r="16" customFormat="false" ht="15" hidden="false" customHeight="false" outlineLevel="0" collapsed="false">
      <c r="A16" s="28" t="s">
        <v>332</v>
      </c>
      <c r="B16" s="58" t="s">
        <v>1961</v>
      </c>
      <c r="C16" s="59" t="n">
        <f aca="false">SUM(E16:P16)</f>
        <v>1094000</v>
      </c>
      <c r="E16" s="103" t="n">
        <v>84000</v>
      </c>
      <c r="F16" s="103" t="n">
        <v>90000</v>
      </c>
      <c r="G16" s="103" t="n">
        <v>96000</v>
      </c>
      <c r="H16" s="103" t="n">
        <v>92000</v>
      </c>
      <c r="I16" s="103" t="n">
        <v>88000</v>
      </c>
      <c r="J16" s="103" t="n">
        <v>94000</v>
      </c>
      <c r="K16" s="103" t="n">
        <v>84000</v>
      </c>
      <c r="L16" s="103" t="n">
        <v>86000</v>
      </c>
      <c r="M16" s="103" t="n">
        <v>100000</v>
      </c>
      <c r="N16" s="103" t="n">
        <v>104000</v>
      </c>
      <c r="O16" s="103" t="n">
        <v>98000</v>
      </c>
      <c r="P16" s="103" t="n">
        <v>78000</v>
      </c>
    </row>
    <row r="17" customFormat="false" ht="15" hidden="false" customHeight="false" outlineLevel="0" collapsed="false">
      <c r="A17" s="28" t="s">
        <v>333</v>
      </c>
      <c r="B17" s="58" t="s">
        <v>1961</v>
      </c>
      <c r="C17" s="59" t="n">
        <f aca="false">SUM(E17:P17)</f>
        <v>486001</v>
      </c>
      <c r="E17" s="103" t="n">
        <v>42504</v>
      </c>
      <c r="F17" s="103" t="n">
        <v>40826</v>
      </c>
      <c r="G17" s="103" t="n">
        <v>44182</v>
      </c>
      <c r="H17" s="103" t="n">
        <v>41945</v>
      </c>
      <c r="I17" s="103" t="n">
        <v>41945</v>
      </c>
      <c r="J17" s="103" t="n">
        <v>38589</v>
      </c>
      <c r="K17" s="103" t="n">
        <v>31319</v>
      </c>
      <c r="L17" s="103" t="n">
        <v>38030</v>
      </c>
      <c r="M17" s="103" t="n">
        <v>44182</v>
      </c>
      <c r="N17" s="103" t="n">
        <v>45860</v>
      </c>
      <c r="O17" s="103" t="n">
        <v>42504</v>
      </c>
      <c r="P17" s="103" t="n">
        <v>34115</v>
      </c>
    </row>
    <row r="18" customFormat="false" ht="15" hidden="false" customHeight="false" outlineLevel="0" collapsed="false">
      <c r="A18" s="28" t="s">
        <v>334</v>
      </c>
      <c r="B18" s="58" t="s">
        <v>1961</v>
      </c>
      <c r="C18" s="59" t="n">
        <f aca="false">SUM(E18:P18)</f>
        <v>288000</v>
      </c>
      <c r="E18" s="103" t="n">
        <v>20400</v>
      </c>
      <c r="F18" s="103" t="n">
        <v>20400</v>
      </c>
      <c r="G18" s="103" t="n">
        <v>22800</v>
      </c>
      <c r="H18" s="103" t="n">
        <v>24000</v>
      </c>
      <c r="I18" s="103" t="n">
        <v>24000</v>
      </c>
      <c r="J18" s="103" t="n">
        <v>22800</v>
      </c>
      <c r="K18" s="103" t="n">
        <v>20400</v>
      </c>
      <c r="L18" s="103" t="n">
        <v>21600</v>
      </c>
      <c r="M18" s="103" t="n">
        <v>24000</v>
      </c>
      <c r="N18" s="103" t="n">
        <v>26400</v>
      </c>
      <c r="O18" s="103" t="n">
        <v>32400</v>
      </c>
      <c r="P18" s="103" t="n">
        <v>28800</v>
      </c>
    </row>
    <row r="19" customFormat="false" ht="15" hidden="false" customHeight="false" outlineLevel="0" collapsed="false">
      <c r="A19" s="28" t="s">
        <v>335</v>
      </c>
      <c r="B19" s="58" t="s">
        <v>1961</v>
      </c>
      <c r="C19" s="59" t="n">
        <f aca="false">SUM(E19:P19)</f>
        <v>55000</v>
      </c>
      <c r="E19" s="103" t="n">
        <v>0</v>
      </c>
      <c r="F19" s="103" t="n">
        <v>0</v>
      </c>
      <c r="G19" s="103" t="n">
        <v>0</v>
      </c>
      <c r="H19" s="103" t="n">
        <v>0</v>
      </c>
      <c r="I19" s="103" t="n">
        <v>0</v>
      </c>
      <c r="J19" s="103" t="n">
        <v>3000</v>
      </c>
      <c r="K19" s="103" t="n">
        <v>6000</v>
      </c>
      <c r="L19" s="103" t="n">
        <v>6000</v>
      </c>
      <c r="M19" s="103" t="n">
        <v>12000</v>
      </c>
      <c r="N19" s="103" t="n">
        <v>14000</v>
      </c>
      <c r="O19" s="103" t="n">
        <v>10000</v>
      </c>
      <c r="P19" s="103" t="n">
        <v>4000</v>
      </c>
    </row>
    <row r="20" customFormat="false" ht="15" hidden="false" customHeight="false" outlineLevel="0" collapsed="false">
      <c r="A20" s="68" t="s">
        <v>336</v>
      </c>
      <c r="B20" s="69"/>
      <c r="C20" s="70" t="n">
        <f aca="false">SUM(E20:P20)</f>
        <v>4188973</v>
      </c>
      <c r="D20" s="153"/>
      <c r="E20" s="70" t="n">
        <f aca="false">E15+E16+E17+E18+E19</f>
        <v>335735</v>
      </c>
      <c r="F20" s="70" t="n">
        <f aca="false">F15+F16+F17+F18+F19</f>
        <v>340057</v>
      </c>
      <c r="G20" s="70" t="n">
        <f aca="false">G15+G16+G17+G18+G19</f>
        <v>351813</v>
      </c>
      <c r="H20" s="70" t="n">
        <f aca="false">H15+H16+H17+H18+H19</f>
        <v>346776</v>
      </c>
      <c r="I20" s="70" t="n">
        <f aca="false">I15+I16+I17+I18+I19</f>
        <v>342776</v>
      </c>
      <c r="J20" s="70" t="n">
        <f aca="false">J15+J16+J17+J18+J19</f>
        <v>347220</v>
      </c>
      <c r="K20" s="70" t="n">
        <f aca="false">K15+K16+K17+K18+K19</f>
        <v>330550</v>
      </c>
      <c r="L20" s="70" t="n">
        <f aca="false">L15+L16+L17+L18+L19</f>
        <v>340461</v>
      </c>
      <c r="M20" s="70" t="n">
        <f aca="false">M15+M16+M17+M18+M19</f>
        <v>369013</v>
      </c>
      <c r="N20" s="70" t="n">
        <f aca="false">N15+N16+N17+N18+N19</f>
        <v>379091</v>
      </c>
      <c r="O20" s="70" t="n">
        <f aca="false">O15+O16+O17+O18+O19</f>
        <v>371735</v>
      </c>
      <c r="P20" s="70" t="n">
        <f aca="false">P15+P16+P17+P18+P19</f>
        <v>333746</v>
      </c>
    </row>
    <row r="21" customFormat="false" ht="15" hidden="false" customHeight="false" outlineLevel="0" collapsed="false">
      <c r="A21" s="28" t="s">
        <v>477</v>
      </c>
      <c r="B21" s="58" t="s">
        <v>1961</v>
      </c>
      <c r="C21" s="59" t="n">
        <f aca="false">SUM(E21:P21)</f>
        <v>-48246</v>
      </c>
      <c r="E21" s="103" t="n">
        <v>0</v>
      </c>
      <c r="F21" s="103" t="n">
        <v>0</v>
      </c>
      <c r="G21" s="103" t="n">
        <v>0</v>
      </c>
      <c r="H21" s="103" t="n">
        <v>0</v>
      </c>
      <c r="I21" s="103" t="n">
        <v>0</v>
      </c>
      <c r="J21" s="103" t="n">
        <v>-2632</v>
      </c>
      <c r="K21" s="103" t="n">
        <v>-5263</v>
      </c>
      <c r="L21" s="103" t="n">
        <v>-5263</v>
      </c>
      <c r="M21" s="103" t="n">
        <v>-10526</v>
      </c>
      <c r="N21" s="103" t="n">
        <v>-12281</v>
      </c>
      <c r="O21" s="103" t="n">
        <v>-8772</v>
      </c>
      <c r="P21" s="103" t="n">
        <v>-3509</v>
      </c>
    </row>
    <row r="22" customFormat="false" ht="15" hidden="false" customHeight="false" outlineLevel="0" collapsed="false">
      <c r="A22" s="68" t="s">
        <v>338</v>
      </c>
      <c r="B22" s="69"/>
      <c r="C22" s="70" t="n">
        <f aca="false">SUM(E22:P22)</f>
        <v>4140727</v>
      </c>
      <c r="D22" s="153"/>
      <c r="E22" s="70" t="n">
        <f aca="false">E20+E21</f>
        <v>335735</v>
      </c>
      <c r="F22" s="70" t="n">
        <f aca="false">F20+F21</f>
        <v>340057</v>
      </c>
      <c r="G22" s="70" t="n">
        <f aca="false">G20+G21</f>
        <v>351813</v>
      </c>
      <c r="H22" s="70" t="n">
        <f aca="false">H20+H21</f>
        <v>346776</v>
      </c>
      <c r="I22" s="70" t="n">
        <f aca="false">I20+I21</f>
        <v>342776</v>
      </c>
      <c r="J22" s="70" t="n">
        <f aca="false">J20+J21</f>
        <v>344588</v>
      </c>
      <c r="K22" s="70" t="n">
        <f aca="false">K20+K21</f>
        <v>325287</v>
      </c>
      <c r="L22" s="70" t="n">
        <f aca="false">L20+L21</f>
        <v>335198</v>
      </c>
      <c r="M22" s="70" t="n">
        <f aca="false">M20+M21</f>
        <v>358487</v>
      </c>
      <c r="N22" s="70" t="n">
        <f aca="false">N20+N21</f>
        <v>366810</v>
      </c>
      <c r="O22" s="70" t="n">
        <f aca="false">O20+O21</f>
        <v>362963</v>
      </c>
      <c r="P22" s="70" t="n">
        <f aca="false">P20+P21</f>
        <v>330237</v>
      </c>
    </row>
    <row r="23" customFormat="false" ht="15" hidden="false" customHeight="false" outlineLevel="0" collapsed="false">
      <c r="A23" s="22" t="s">
        <v>1964</v>
      </c>
      <c r="B23" s="23"/>
      <c r="C23" s="23"/>
      <c r="D23" s="23"/>
      <c r="E23" s="23"/>
      <c r="F23" s="23"/>
      <c r="G23" s="23"/>
      <c r="H23" s="23"/>
      <c r="I23" s="23"/>
      <c r="J23" s="23"/>
      <c r="K23" s="23"/>
      <c r="L23" s="23"/>
      <c r="M23" s="23"/>
      <c r="N23" s="23"/>
      <c r="O23" s="23"/>
      <c r="P23" s="23"/>
    </row>
    <row r="24" customFormat="false" ht="15" hidden="false" customHeight="false" outlineLevel="0" collapsed="false">
      <c r="A24" s="28" t="s">
        <v>478</v>
      </c>
      <c r="B24" s="58" t="s">
        <v>1961</v>
      </c>
      <c r="C24" s="59" t="n">
        <f aca="false">SUM(E24:P24)</f>
        <v>-2210374</v>
      </c>
      <c r="E24" s="103" t="n">
        <v>-179292</v>
      </c>
      <c r="F24" s="103" t="n">
        <v>-179292</v>
      </c>
      <c r="G24" s="103" t="n">
        <v>-185179</v>
      </c>
      <c r="H24" s="103" t="n">
        <v>-185179</v>
      </c>
      <c r="I24" s="103" t="n">
        <v>-185179</v>
      </c>
      <c r="J24" s="103" t="n">
        <v>-185179</v>
      </c>
      <c r="K24" s="103" t="n">
        <v>-185179</v>
      </c>
      <c r="L24" s="103" t="n">
        <v>-185179</v>
      </c>
      <c r="M24" s="103" t="n">
        <v>-185179</v>
      </c>
      <c r="N24" s="103" t="n">
        <v>-185179</v>
      </c>
      <c r="O24" s="103" t="n">
        <v>-185179</v>
      </c>
      <c r="P24" s="103" t="n">
        <v>-185179</v>
      </c>
    </row>
    <row r="25" customFormat="false" ht="15" hidden="false" customHeight="false" outlineLevel="0" collapsed="false">
      <c r="A25" s="28" t="s">
        <v>343</v>
      </c>
      <c r="B25" s="58" t="s">
        <v>1961</v>
      </c>
      <c r="C25" s="59" t="n">
        <f aca="false">SUM(E25:P25)</f>
        <v>-144000</v>
      </c>
      <c r="E25" s="103" t="n">
        <v>-12000</v>
      </c>
      <c r="F25" s="103" t="n">
        <v>-12000</v>
      </c>
      <c r="G25" s="103" t="n">
        <v>-12000</v>
      </c>
      <c r="H25" s="103" t="n">
        <v>-12000</v>
      </c>
      <c r="I25" s="103" t="n">
        <v>-12000</v>
      </c>
      <c r="J25" s="103" t="n">
        <v>-12000</v>
      </c>
      <c r="K25" s="103" t="n">
        <v>-12000</v>
      </c>
      <c r="L25" s="103" t="n">
        <v>-12000</v>
      </c>
      <c r="M25" s="103" t="n">
        <v>-12000</v>
      </c>
      <c r="N25" s="103" t="n">
        <v>-12000</v>
      </c>
      <c r="O25" s="103" t="n">
        <v>-12000</v>
      </c>
      <c r="P25" s="103" t="n">
        <v>-12000</v>
      </c>
    </row>
    <row r="26" customFormat="false" ht="15" hidden="false" customHeight="false" outlineLevel="0" collapsed="false">
      <c r="A26" s="68" t="s">
        <v>344</v>
      </c>
      <c r="B26" s="69"/>
      <c r="C26" s="70" t="n">
        <f aca="false">SUM(E26:P26)</f>
        <v>-2354374</v>
      </c>
      <c r="D26" s="153"/>
      <c r="E26" s="70" t="n">
        <f aca="false">E24+E25</f>
        <v>-191292</v>
      </c>
      <c r="F26" s="70" t="n">
        <f aca="false">F24+F25</f>
        <v>-191292</v>
      </c>
      <c r="G26" s="70" t="n">
        <f aca="false">G24+G25</f>
        <v>-197179</v>
      </c>
      <c r="H26" s="70" t="n">
        <f aca="false">H24+H25</f>
        <v>-197179</v>
      </c>
      <c r="I26" s="70" t="n">
        <f aca="false">I24+I25</f>
        <v>-197179</v>
      </c>
      <c r="J26" s="70" t="n">
        <f aca="false">J24+J25</f>
        <v>-197179</v>
      </c>
      <c r="K26" s="70" t="n">
        <f aca="false">K24+K25</f>
        <v>-197179</v>
      </c>
      <c r="L26" s="70" t="n">
        <f aca="false">L24+L25</f>
        <v>-197179</v>
      </c>
      <c r="M26" s="70" t="n">
        <f aca="false">M24+M25</f>
        <v>-197179</v>
      </c>
      <c r="N26" s="70" t="n">
        <f aca="false">N24+N25</f>
        <v>-197179</v>
      </c>
      <c r="O26" s="70" t="n">
        <f aca="false">O24+O25</f>
        <v>-197179</v>
      </c>
      <c r="P26" s="70" t="n">
        <f aca="false">P24+P25</f>
        <v>-197179</v>
      </c>
    </row>
    <row r="27" customFormat="false" ht="15" hidden="false" customHeight="false" outlineLevel="0" collapsed="false">
      <c r="A27" s="68" t="s">
        <v>345</v>
      </c>
      <c r="B27" s="69"/>
      <c r="C27" s="70" t="n">
        <f aca="false">SUM(E27:P27)</f>
        <v>1786353</v>
      </c>
      <c r="D27" s="153"/>
      <c r="E27" s="70" t="n">
        <f aca="false">E22+E26</f>
        <v>144443</v>
      </c>
      <c r="F27" s="70" t="n">
        <f aca="false">F22+F26</f>
        <v>148765</v>
      </c>
      <c r="G27" s="70" t="n">
        <f aca="false">G22+G26</f>
        <v>154634</v>
      </c>
      <c r="H27" s="70" t="n">
        <f aca="false">H22+H26</f>
        <v>149597</v>
      </c>
      <c r="I27" s="70" t="n">
        <f aca="false">I22+I26</f>
        <v>145597</v>
      </c>
      <c r="J27" s="70" t="n">
        <f aca="false">J22+J26</f>
        <v>147409</v>
      </c>
      <c r="K27" s="70" t="n">
        <f aca="false">K22+K26</f>
        <v>128108</v>
      </c>
      <c r="L27" s="70" t="n">
        <f aca="false">L22+L26</f>
        <v>138019</v>
      </c>
      <c r="M27" s="70" t="n">
        <f aca="false">M22+M26</f>
        <v>161308</v>
      </c>
      <c r="N27" s="70" t="n">
        <f aca="false">N22+N26</f>
        <v>169631</v>
      </c>
      <c r="O27" s="70" t="n">
        <f aca="false">O22+O26</f>
        <v>165784</v>
      </c>
      <c r="P27" s="70" t="n">
        <f aca="false">P22+P26</f>
        <v>133058</v>
      </c>
    </row>
    <row r="28" customFormat="false" ht="15" hidden="false" customHeight="false" outlineLevel="0" collapsed="false">
      <c r="A28" s="28" t="s">
        <v>349</v>
      </c>
      <c r="B28" s="58" t="s">
        <v>1961</v>
      </c>
      <c r="C28" s="59" t="n">
        <f aca="false">SUM(E28:P28)</f>
        <v>-391764</v>
      </c>
      <c r="E28" s="103" t="n">
        <v>-32647</v>
      </c>
      <c r="F28" s="103" t="n">
        <v>-32647</v>
      </c>
      <c r="G28" s="103" t="n">
        <v>-32647</v>
      </c>
      <c r="H28" s="103" t="n">
        <v>-32647</v>
      </c>
      <c r="I28" s="103" t="n">
        <v>-32647</v>
      </c>
      <c r="J28" s="103" t="n">
        <v>-32647</v>
      </c>
      <c r="K28" s="103" t="n">
        <v>-32647</v>
      </c>
      <c r="L28" s="103" t="n">
        <v>-32647</v>
      </c>
      <c r="M28" s="103" t="n">
        <v>-32647</v>
      </c>
      <c r="N28" s="103" t="n">
        <v>-32647</v>
      </c>
      <c r="O28" s="103" t="n">
        <v>-32647</v>
      </c>
      <c r="P28" s="103" t="n">
        <v>-32647</v>
      </c>
    </row>
    <row r="29" customFormat="false" ht="15" hidden="false" customHeight="false" outlineLevel="0" collapsed="false">
      <c r="A29" s="28" t="s">
        <v>479</v>
      </c>
      <c r="B29" s="58" t="s">
        <v>1961</v>
      </c>
      <c r="C29" s="59" t="n">
        <f aca="false">SUM(E29:P29)</f>
        <v>-130104</v>
      </c>
      <c r="E29" s="103" t="n">
        <v>-10597</v>
      </c>
      <c r="F29" s="103" t="n">
        <v>-10597</v>
      </c>
      <c r="G29" s="103" t="n">
        <v>-10891</v>
      </c>
      <c r="H29" s="103" t="n">
        <v>-10891</v>
      </c>
      <c r="I29" s="103" t="n">
        <v>-10891</v>
      </c>
      <c r="J29" s="103" t="n">
        <v>-10891</v>
      </c>
      <c r="K29" s="103" t="n">
        <v>-10891</v>
      </c>
      <c r="L29" s="103" t="n">
        <v>-10891</v>
      </c>
      <c r="M29" s="103" t="n">
        <v>-10891</v>
      </c>
      <c r="N29" s="103" t="n">
        <v>-10891</v>
      </c>
      <c r="O29" s="103" t="n">
        <v>-10891</v>
      </c>
      <c r="P29" s="103" t="n">
        <v>-10891</v>
      </c>
    </row>
    <row r="30" customFormat="false" ht="15" hidden="false" customHeight="false" outlineLevel="0" collapsed="false">
      <c r="A30" s="28" t="s">
        <v>351</v>
      </c>
      <c r="B30" s="58" t="s">
        <v>1961</v>
      </c>
      <c r="C30" s="59" t="n">
        <f aca="false">SUM(E30:P30)</f>
        <v>-112800</v>
      </c>
      <c r="E30" s="103" t="n">
        <v>-9400</v>
      </c>
      <c r="F30" s="103" t="n">
        <v>-9400</v>
      </c>
      <c r="G30" s="103" t="n">
        <v>-9400</v>
      </c>
      <c r="H30" s="103" t="n">
        <v>-9400</v>
      </c>
      <c r="I30" s="103" t="n">
        <v>-9400</v>
      </c>
      <c r="J30" s="103" t="n">
        <v>-9400</v>
      </c>
      <c r="K30" s="103" t="n">
        <v>-9400</v>
      </c>
      <c r="L30" s="103" t="n">
        <v>-9400</v>
      </c>
      <c r="M30" s="103" t="n">
        <v>-9400</v>
      </c>
      <c r="N30" s="103" t="n">
        <v>-9400</v>
      </c>
      <c r="O30" s="103" t="n">
        <v>-9400</v>
      </c>
      <c r="P30" s="103" t="n">
        <v>-9400</v>
      </c>
    </row>
    <row r="31" customFormat="false" ht="15" hidden="false" customHeight="false" outlineLevel="0" collapsed="false">
      <c r="A31" s="28" t="s">
        <v>352</v>
      </c>
      <c r="B31" s="58" t="s">
        <v>1961</v>
      </c>
      <c r="C31" s="59" t="n">
        <f aca="false">SUM(E31:P31)</f>
        <v>-74400</v>
      </c>
      <c r="E31" s="103" t="n">
        <v>-6200</v>
      </c>
      <c r="F31" s="103" t="n">
        <v>-6200</v>
      </c>
      <c r="G31" s="103" t="n">
        <v>-6200</v>
      </c>
      <c r="H31" s="103" t="n">
        <v>-6200</v>
      </c>
      <c r="I31" s="103" t="n">
        <v>-6200</v>
      </c>
      <c r="J31" s="103" t="n">
        <v>-6200</v>
      </c>
      <c r="K31" s="103" t="n">
        <v>-6200</v>
      </c>
      <c r="L31" s="103" t="n">
        <v>-6200</v>
      </c>
      <c r="M31" s="103" t="n">
        <v>-6200</v>
      </c>
      <c r="N31" s="103" t="n">
        <v>-6200</v>
      </c>
      <c r="O31" s="103" t="n">
        <v>-6200</v>
      </c>
      <c r="P31" s="103" t="n">
        <v>-6200</v>
      </c>
    </row>
    <row r="32" customFormat="false" ht="15" hidden="false" customHeight="false" outlineLevel="0" collapsed="false">
      <c r="A32" s="28" t="s">
        <v>353</v>
      </c>
      <c r="B32" s="58" t="s">
        <v>1961</v>
      </c>
      <c r="C32" s="59" t="n">
        <f aca="false">SUM(E32:P32)</f>
        <v>-60000</v>
      </c>
      <c r="E32" s="103" t="n">
        <v>-5000</v>
      </c>
      <c r="F32" s="103" t="n">
        <v>-5000</v>
      </c>
      <c r="G32" s="103" t="n">
        <v>-5000</v>
      </c>
      <c r="H32" s="103" t="n">
        <v>-5000</v>
      </c>
      <c r="I32" s="103" t="n">
        <v>-5000</v>
      </c>
      <c r="J32" s="103" t="n">
        <v>-5000</v>
      </c>
      <c r="K32" s="103" t="n">
        <v>-5000</v>
      </c>
      <c r="L32" s="103" t="n">
        <v>-5000</v>
      </c>
      <c r="M32" s="103" t="n">
        <v>-5000</v>
      </c>
      <c r="N32" s="103" t="n">
        <v>-5000</v>
      </c>
      <c r="O32" s="103" t="n">
        <v>-5000</v>
      </c>
      <c r="P32" s="103" t="n">
        <v>-5000</v>
      </c>
    </row>
    <row r="33" customFormat="false" ht="15" hidden="false" customHeight="false" outlineLevel="0" collapsed="false">
      <c r="A33" s="28" t="s">
        <v>354</v>
      </c>
      <c r="B33" s="58" t="s">
        <v>1961</v>
      </c>
      <c r="C33" s="59" t="n">
        <f aca="false">SUM(E33:P33)</f>
        <v>-43200</v>
      </c>
      <c r="E33" s="103" t="n">
        <v>-3600</v>
      </c>
      <c r="F33" s="103" t="n">
        <v>-3600</v>
      </c>
      <c r="G33" s="103" t="n">
        <v>-3600</v>
      </c>
      <c r="H33" s="103" t="n">
        <v>-3600</v>
      </c>
      <c r="I33" s="103" t="n">
        <v>-3600</v>
      </c>
      <c r="J33" s="103" t="n">
        <v>-3600</v>
      </c>
      <c r="K33" s="103" t="n">
        <v>-3600</v>
      </c>
      <c r="L33" s="103" t="n">
        <v>-3600</v>
      </c>
      <c r="M33" s="103" t="n">
        <v>-3600</v>
      </c>
      <c r="N33" s="103" t="n">
        <v>-3600</v>
      </c>
      <c r="O33" s="103" t="n">
        <v>-3600</v>
      </c>
      <c r="P33" s="103" t="n">
        <v>-3600</v>
      </c>
    </row>
    <row r="34" customFormat="false" ht="15" hidden="false" customHeight="false" outlineLevel="0" collapsed="false">
      <c r="A34" s="28" t="s">
        <v>355</v>
      </c>
      <c r="B34" s="58" t="s">
        <v>1961</v>
      </c>
      <c r="C34" s="59" t="n">
        <f aca="false">SUM(E34:P34)</f>
        <v>-19200</v>
      </c>
      <c r="E34" s="103" t="n">
        <v>-1600</v>
      </c>
      <c r="F34" s="103" t="n">
        <v>-1600</v>
      </c>
      <c r="G34" s="103" t="n">
        <v>-1600</v>
      </c>
      <c r="H34" s="103" t="n">
        <v>-1600</v>
      </c>
      <c r="I34" s="103" t="n">
        <v>-1600</v>
      </c>
      <c r="J34" s="103" t="n">
        <v>-1600</v>
      </c>
      <c r="K34" s="103" t="n">
        <v>-1600</v>
      </c>
      <c r="L34" s="103" t="n">
        <v>-1600</v>
      </c>
      <c r="M34" s="103" t="n">
        <v>-1600</v>
      </c>
      <c r="N34" s="103" t="n">
        <v>-1600</v>
      </c>
      <c r="O34" s="103" t="n">
        <v>-1600</v>
      </c>
      <c r="P34" s="103" t="n">
        <v>-1600</v>
      </c>
    </row>
    <row r="35" customFormat="false" ht="15" hidden="false" customHeight="false" outlineLevel="0" collapsed="false">
      <c r="A35" s="28" t="s">
        <v>356</v>
      </c>
      <c r="B35" s="58" t="s">
        <v>1961</v>
      </c>
      <c r="C35" s="59" t="n">
        <f aca="false">SUM(E35:P35)</f>
        <v>-26400</v>
      </c>
      <c r="E35" s="103" t="n">
        <v>-2200</v>
      </c>
      <c r="F35" s="103" t="n">
        <v>-2200</v>
      </c>
      <c r="G35" s="103" t="n">
        <v>-2200</v>
      </c>
      <c r="H35" s="103" t="n">
        <v>-2200</v>
      </c>
      <c r="I35" s="103" t="n">
        <v>-2200</v>
      </c>
      <c r="J35" s="103" t="n">
        <v>-2200</v>
      </c>
      <c r="K35" s="103" t="n">
        <v>-2200</v>
      </c>
      <c r="L35" s="103" t="n">
        <v>-2200</v>
      </c>
      <c r="M35" s="103" t="n">
        <v>-2200</v>
      </c>
      <c r="N35" s="103" t="n">
        <v>-2200</v>
      </c>
      <c r="O35" s="103" t="n">
        <v>-2200</v>
      </c>
      <c r="P35" s="103" t="n">
        <v>-2200</v>
      </c>
    </row>
    <row r="36" customFormat="false" ht="15" hidden="false" customHeight="false" outlineLevel="0" collapsed="false">
      <c r="A36" s="28" t="s">
        <v>357</v>
      </c>
      <c r="B36" s="58" t="s">
        <v>1961</v>
      </c>
      <c r="C36" s="59" t="n">
        <f aca="false">SUM(E36:P36)</f>
        <v>-30000</v>
      </c>
      <c r="E36" s="103" t="n">
        <v>-2500</v>
      </c>
      <c r="F36" s="103" t="n">
        <v>-2500</v>
      </c>
      <c r="G36" s="103" t="n">
        <v>-2500</v>
      </c>
      <c r="H36" s="103" t="n">
        <v>-2500</v>
      </c>
      <c r="I36" s="103" t="n">
        <v>-2500</v>
      </c>
      <c r="J36" s="103" t="n">
        <v>-2500</v>
      </c>
      <c r="K36" s="103" t="n">
        <v>-2500</v>
      </c>
      <c r="L36" s="103" t="n">
        <v>-2500</v>
      </c>
      <c r="M36" s="103" t="n">
        <v>-2500</v>
      </c>
      <c r="N36" s="103" t="n">
        <v>-2500</v>
      </c>
      <c r="O36" s="103" t="n">
        <v>-2500</v>
      </c>
      <c r="P36" s="103" t="n">
        <v>-2500</v>
      </c>
    </row>
    <row r="37" customFormat="false" ht="15" hidden="false" customHeight="false" outlineLevel="0" collapsed="false">
      <c r="A37" s="28" t="s">
        <v>358</v>
      </c>
      <c r="B37" s="58" t="s">
        <v>1961</v>
      </c>
      <c r="C37" s="59" t="n">
        <f aca="false">SUM(E37:P37)</f>
        <v>-10800</v>
      </c>
      <c r="E37" s="103" t="n">
        <v>-900</v>
      </c>
      <c r="F37" s="103" t="n">
        <v>-900</v>
      </c>
      <c r="G37" s="103" t="n">
        <v>-900</v>
      </c>
      <c r="H37" s="103" t="n">
        <v>-900</v>
      </c>
      <c r="I37" s="103" t="n">
        <v>-900</v>
      </c>
      <c r="J37" s="103" t="n">
        <v>-900</v>
      </c>
      <c r="K37" s="103" t="n">
        <v>-900</v>
      </c>
      <c r="L37" s="103" t="n">
        <v>-900</v>
      </c>
      <c r="M37" s="103" t="n">
        <v>-900</v>
      </c>
      <c r="N37" s="103" t="n">
        <v>-900</v>
      </c>
      <c r="O37" s="103" t="n">
        <v>-900</v>
      </c>
      <c r="P37" s="103" t="n">
        <v>-900</v>
      </c>
    </row>
    <row r="38" customFormat="false" ht="15" hidden="false" customHeight="false" outlineLevel="0" collapsed="false">
      <c r="A38" s="28" t="s">
        <v>359</v>
      </c>
      <c r="B38" s="58" t="s">
        <v>1961</v>
      </c>
      <c r="C38" s="59" t="n">
        <f aca="false">SUM(E38:P38)</f>
        <v>-24000</v>
      </c>
      <c r="E38" s="103" t="n">
        <v>-2000</v>
      </c>
      <c r="F38" s="103" t="n">
        <v>-2000</v>
      </c>
      <c r="G38" s="103" t="n">
        <v>-2000</v>
      </c>
      <c r="H38" s="103" t="n">
        <v>-2000</v>
      </c>
      <c r="I38" s="103" t="n">
        <v>-2000</v>
      </c>
      <c r="J38" s="103" t="n">
        <v>-2000</v>
      </c>
      <c r="K38" s="103" t="n">
        <v>-2000</v>
      </c>
      <c r="L38" s="103" t="n">
        <v>-2000</v>
      </c>
      <c r="M38" s="103" t="n">
        <v>-2000</v>
      </c>
      <c r="N38" s="103" t="n">
        <v>-2000</v>
      </c>
      <c r="O38" s="103" t="n">
        <v>-2000</v>
      </c>
      <c r="P38" s="103" t="n">
        <v>-2000</v>
      </c>
    </row>
    <row r="39" customFormat="false" ht="15" hidden="false" customHeight="false" outlineLevel="0" collapsed="false">
      <c r="A39" s="28" t="s">
        <v>360</v>
      </c>
      <c r="B39" s="58" t="s">
        <v>1961</v>
      </c>
      <c r="C39" s="59" t="n">
        <f aca="false">SUM(E39:P39)</f>
        <v>-21600</v>
      </c>
      <c r="E39" s="103" t="n">
        <v>-1800</v>
      </c>
      <c r="F39" s="103" t="n">
        <v>-1800</v>
      </c>
      <c r="G39" s="103" t="n">
        <v>-1800</v>
      </c>
      <c r="H39" s="103" t="n">
        <v>-1800</v>
      </c>
      <c r="I39" s="103" t="n">
        <v>-1800</v>
      </c>
      <c r="J39" s="103" t="n">
        <v>-1800</v>
      </c>
      <c r="K39" s="103" t="n">
        <v>-1800</v>
      </c>
      <c r="L39" s="103" t="n">
        <v>-1800</v>
      </c>
      <c r="M39" s="103" t="n">
        <v>-1800</v>
      </c>
      <c r="N39" s="103" t="n">
        <v>-1800</v>
      </c>
      <c r="O39" s="103" t="n">
        <v>-1800</v>
      </c>
      <c r="P39" s="103" t="n">
        <v>-1800</v>
      </c>
    </row>
    <row r="40" customFormat="false" ht="15" hidden="false" customHeight="false" outlineLevel="0" collapsed="false">
      <c r="A40" s="28" t="s">
        <v>361</v>
      </c>
      <c r="B40" s="58" t="s">
        <v>1961</v>
      </c>
      <c r="C40" s="59" t="n">
        <f aca="false">SUM(E40:P40)</f>
        <v>-12000</v>
      </c>
      <c r="E40" s="103" t="n">
        <v>-1000</v>
      </c>
      <c r="F40" s="103" t="n">
        <v>-1000</v>
      </c>
      <c r="G40" s="103" t="n">
        <v>-1000</v>
      </c>
      <c r="H40" s="103" t="n">
        <v>-1000</v>
      </c>
      <c r="I40" s="103" t="n">
        <v>-1000</v>
      </c>
      <c r="J40" s="103" t="n">
        <v>-1000</v>
      </c>
      <c r="K40" s="103" t="n">
        <v>-1000</v>
      </c>
      <c r="L40" s="103" t="n">
        <v>-1000</v>
      </c>
      <c r="M40" s="103" t="n">
        <v>-1000</v>
      </c>
      <c r="N40" s="103" t="n">
        <v>-1000</v>
      </c>
      <c r="O40" s="103" t="n">
        <v>-1000</v>
      </c>
      <c r="P40" s="103" t="n">
        <v>-1000</v>
      </c>
    </row>
    <row r="41" customFormat="false" ht="15" hidden="false" customHeight="false" outlineLevel="0" collapsed="false">
      <c r="A41" s="28" t="s">
        <v>480</v>
      </c>
      <c r="B41" s="58" t="s">
        <v>1961</v>
      </c>
      <c r="C41" s="59" t="n">
        <f aca="false">SUM(E41:P41)</f>
        <v>0</v>
      </c>
      <c r="E41" s="103" t="n">
        <v>0</v>
      </c>
      <c r="F41" s="103" t="n">
        <v>0</v>
      </c>
      <c r="G41" s="103" t="n">
        <v>0</v>
      </c>
      <c r="H41" s="103" t="n">
        <v>0</v>
      </c>
      <c r="I41" s="103" t="n">
        <v>0</v>
      </c>
      <c r="J41" s="103" t="n">
        <v>0</v>
      </c>
      <c r="K41" s="103" t="n">
        <v>0</v>
      </c>
      <c r="L41" s="103" t="n">
        <v>0</v>
      </c>
      <c r="M41" s="103" t="n">
        <v>0</v>
      </c>
      <c r="N41" s="103" t="n">
        <v>0</v>
      </c>
      <c r="O41" s="103" t="n">
        <v>0</v>
      </c>
      <c r="P41" s="103" t="n">
        <v>0</v>
      </c>
    </row>
    <row r="42" customFormat="false" ht="15" hidden="false" customHeight="false" outlineLevel="0" collapsed="false">
      <c r="A42" s="68" t="s">
        <v>363</v>
      </c>
      <c r="B42" s="69"/>
      <c r="C42" s="70" t="n">
        <f aca="false">SUM(E42:P42)</f>
        <v>-956268</v>
      </c>
      <c r="D42" s="153"/>
      <c r="E42" s="70" t="n">
        <f aca="false">SUM(E28:E41)</f>
        <v>-79444</v>
      </c>
      <c r="F42" s="70" t="n">
        <f aca="false">SUM(F28:F41)</f>
        <v>-79444</v>
      </c>
      <c r="G42" s="70" t="n">
        <f aca="false">SUM(G28:G41)</f>
        <v>-79738</v>
      </c>
      <c r="H42" s="70" t="n">
        <f aca="false">SUM(H28:H41)</f>
        <v>-79738</v>
      </c>
      <c r="I42" s="70" t="n">
        <f aca="false">SUM(I28:I41)</f>
        <v>-79738</v>
      </c>
      <c r="J42" s="70" t="n">
        <f aca="false">SUM(J28:J41)</f>
        <v>-79738</v>
      </c>
      <c r="K42" s="70" t="n">
        <f aca="false">SUM(K28:K41)</f>
        <v>-79738</v>
      </c>
      <c r="L42" s="70" t="n">
        <f aca="false">SUM(L28:L41)</f>
        <v>-79738</v>
      </c>
      <c r="M42" s="70" t="n">
        <f aca="false">SUM(M28:M41)</f>
        <v>-79738</v>
      </c>
      <c r="N42" s="70" t="n">
        <f aca="false">SUM(N28:N41)</f>
        <v>-79738</v>
      </c>
      <c r="O42" s="70" t="n">
        <f aca="false">SUM(O28:O41)</f>
        <v>-79738</v>
      </c>
      <c r="P42" s="70" t="n">
        <f aca="false">SUM(P28:P41)</f>
        <v>-79738</v>
      </c>
    </row>
    <row r="43" customFormat="false" ht="15" hidden="false" customHeight="false" outlineLevel="0" collapsed="false">
      <c r="A43" s="68" t="s">
        <v>303</v>
      </c>
      <c r="B43" s="69"/>
      <c r="C43" s="70" t="n">
        <f aca="false">SUM(E43:P43)</f>
        <v>830085</v>
      </c>
      <c r="D43" s="153"/>
      <c r="E43" s="70" t="n">
        <f aca="false">E27+E42</f>
        <v>64999</v>
      </c>
      <c r="F43" s="70" t="n">
        <f aca="false">F27+F42</f>
        <v>69321</v>
      </c>
      <c r="G43" s="70" t="n">
        <f aca="false">G27+G42</f>
        <v>74896</v>
      </c>
      <c r="H43" s="70" t="n">
        <f aca="false">H27+H42</f>
        <v>69859</v>
      </c>
      <c r="I43" s="70" t="n">
        <f aca="false">I27+I42</f>
        <v>65859</v>
      </c>
      <c r="J43" s="70" t="n">
        <f aca="false">J27+J42</f>
        <v>67671</v>
      </c>
      <c r="K43" s="70" t="n">
        <f aca="false">K27+K42</f>
        <v>48370</v>
      </c>
      <c r="L43" s="70" t="n">
        <f aca="false">L27+L42</f>
        <v>58281</v>
      </c>
      <c r="M43" s="70" t="n">
        <f aca="false">M27+M42</f>
        <v>81570</v>
      </c>
      <c r="N43" s="70" t="n">
        <f aca="false">N27+N42</f>
        <v>89893</v>
      </c>
      <c r="O43" s="70" t="n">
        <f aca="false">O27+O42</f>
        <v>86046</v>
      </c>
      <c r="P43" s="70" t="n">
        <f aca="false">P27+P42</f>
        <v>53320</v>
      </c>
    </row>
    <row r="44" customFormat="false" ht="15" hidden="false" customHeight="false" outlineLevel="0" collapsed="false">
      <c r="A44" s="28" t="s">
        <v>365</v>
      </c>
      <c r="B44" s="58" t="s">
        <v>1961</v>
      </c>
      <c r="C44" s="59" t="n">
        <f aca="false">SUM(E44:P44)</f>
        <v>-64800</v>
      </c>
      <c r="E44" s="103" t="n">
        <v>-5400</v>
      </c>
      <c r="F44" s="103" t="n">
        <v>-5400</v>
      </c>
      <c r="G44" s="103" t="n">
        <v>-5400</v>
      </c>
      <c r="H44" s="103" t="n">
        <v>-5400</v>
      </c>
      <c r="I44" s="103" t="n">
        <v>-5400</v>
      </c>
      <c r="J44" s="103" t="n">
        <v>-5400</v>
      </c>
      <c r="K44" s="103" t="n">
        <v>-5400</v>
      </c>
      <c r="L44" s="103" t="n">
        <v>-5400</v>
      </c>
      <c r="M44" s="103" t="n">
        <v>-5400</v>
      </c>
      <c r="N44" s="103" t="n">
        <v>-5400</v>
      </c>
      <c r="O44" s="103" t="n">
        <v>-5400</v>
      </c>
      <c r="P44" s="103" t="n">
        <v>-5400</v>
      </c>
    </row>
    <row r="45" customFormat="false" ht="15" hidden="false" customHeight="false" outlineLevel="0" collapsed="false">
      <c r="A45" s="28" t="s">
        <v>481</v>
      </c>
      <c r="B45" s="58" t="s">
        <v>1961</v>
      </c>
      <c r="C45" s="59" t="n">
        <f aca="false">SUM(E45:P45)</f>
        <v>0</v>
      </c>
      <c r="E45" s="103" t="n">
        <v>0</v>
      </c>
      <c r="F45" s="103" t="n">
        <v>0</v>
      </c>
      <c r="G45" s="103" t="n">
        <v>0</v>
      </c>
      <c r="H45" s="103" t="n">
        <v>0</v>
      </c>
      <c r="I45" s="103" t="n">
        <v>0</v>
      </c>
      <c r="J45" s="103" t="n">
        <v>0</v>
      </c>
      <c r="K45" s="103" t="n">
        <v>0</v>
      </c>
      <c r="L45" s="103" t="n">
        <v>0</v>
      </c>
      <c r="M45" s="103" t="n">
        <v>0</v>
      </c>
      <c r="N45" s="103" t="n">
        <v>0</v>
      </c>
      <c r="O45" s="103" t="n">
        <v>0</v>
      </c>
      <c r="P45" s="103" t="n">
        <v>0</v>
      </c>
    </row>
    <row r="46" customFormat="false" ht="15" hidden="false" customHeight="false" outlineLevel="0" collapsed="false">
      <c r="A46" s="28" t="s">
        <v>367</v>
      </c>
      <c r="B46" s="58" t="s">
        <v>1961</v>
      </c>
      <c r="C46" s="59" t="n">
        <f aca="false">SUM(E46:P46)</f>
        <v>-5124</v>
      </c>
      <c r="E46" s="103" t="n">
        <v>-504</v>
      </c>
      <c r="F46" s="103" t="n">
        <v>-490</v>
      </c>
      <c r="G46" s="103" t="n">
        <v>-476</v>
      </c>
      <c r="H46" s="103" t="n">
        <v>-462</v>
      </c>
      <c r="I46" s="103" t="n">
        <v>-448</v>
      </c>
      <c r="J46" s="103" t="n">
        <v>-434</v>
      </c>
      <c r="K46" s="103" t="n">
        <v>-420</v>
      </c>
      <c r="L46" s="103" t="n">
        <v>-406</v>
      </c>
      <c r="M46" s="103" t="n">
        <v>-392</v>
      </c>
      <c r="N46" s="103" t="n">
        <v>-378</v>
      </c>
      <c r="O46" s="103" t="n">
        <v>-364</v>
      </c>
      <c r="P46" s="103" t="n">
        <v>-350</v>
      </c>
    </row>
    <row r="47" customFormat="false" ht="15" hidden="false" customHeight="false" outlineLevel="0" collapsed="false">
      <c r="A47" s="68" t="s">
        <v>368</v>
      </c>
      <c r="B47" s="69"/>
      <c r="C47" s="70" t="n">
        <f aca="false">SUM(E47:P47)</f>
        <v>760161</v>
      </c>
      <c r="D47" s="153"/>
      <c r="E47" s="70" t="n">
        <f aca="false">E43+E44+E45+E46</f>
        <v>59095</v>
      </c>
      <c r="F47" s="70" t="n">
        <f aca="false">F43+F44+F45+F46</f>
        <v>63431</v>
      </c>
      <c r="G47" s="70" t="n">
        <f aca="false">G43+G44+G45+G46</f>
        <v>69020</v>
      </c>
      <c r="H47" s="70" t="n">
        <f aca="false">H43+H44+H45+H46</f>
        <v>63997</v>
      </c>
      <c r="I47" s="70" t="n">
        <f aca="false">I43+I44+I45+I46</f>
        <v>60011</v>
      </c>
      <c r="J47" s="70" t="n">
        <f aca="false">J43+J44+J45+J46</f>
        <v>61837</v>
      </c>
      <c r="K47" s="70" t="n">
        <f aca="false">K43+K44+K45+K46</f>
        <v>42550</v>
      </c>
      <c r="L47" s="70" t="n">
        <f aca="false">L43+L44+L45+L46</f>
        <v>52475</v>
      </c>
      <c r="M47" s="70" t="n">
        <f aca="false">M43+M44+M45+M46</f>
        <v>75778</v>
      </c>
      <c r="N47" s="70" t="n">
        <f aca="false">N43+N44+N45+N46</f>
        <v>84115</v>
      </c>
      <c r="O47" s="70" t="n">
        <f aca="false">O43+O44+O45+O46</f>
        <v>80282</v>
      </c>
      <c r="P47" s="70" t="n">
        <f aca="false">P43+P44+P45+P46</f>
        <v>47570</v>
      </c>
    </row>
    <row r="48" customFormat="false" ht="15" hidden="false" customHeight="false" outlineLevel="0" collapsed="false">
      <c r="A48" s="28" t="s">
        <v>1965</v>
      </c>
      <c r="B48" s="58" t="s">
        <v>1961</v>
      </c>
      <c r="C48" s="59" t="n">
        <f aca="false">SUM(E48:P48)</f>
        <v>-78974</v>
      </c>
      <c r="E48" s="103" t="n">
        <v>0</v>
      </c>
      <c r="F48" s="103" t="n">
        <v>0</v>
      </c>
      <c r="G48" s="103" t="n">
        <v>0</v>
      </c>
      <c r="H48" s="103" t="n">
        <v>0</v>
      </c>
      <c r="I48" s="103" t="n">
        <v>0</v>
      </c>
      <c r="J48" s="103" t="n">
        <v>-78974</v>
      </c>
      <c r="K48" s="103" t="n">
        <v>0</v>
      </c>
      <c r="L48" s="103" t="n">
        <v>0</v>
      </c>
      <c r="M48" s="103" t="n">
        <v>0</v>
      </c>
      <c r="N48" s="103" t="n">
        <v>0</v>
      </c>
      <c r="O48" s="103" t="n">
        <v>0</v>
      </c>
      <c r="P48" s="103" t="n">
        <v>0</v>
      </c>
    </row>
    <row r="49" customFormat="false" ht="15" hidden="false" customHeight="false" outlineLevel="0" collapsed="false">
      <c r="A49" s="68" t="s">
        <v>370</v>
      </c>
      <c r="B49" s="69"/>
      <c r="C49" s="70" t="n">
        <f aca="false">SUM(E49:P49)</f>
        <v>681187</v>
      </c>
      <c r="D49" s="153"/>
      <c r="E49" s="70" t="n">
        <f aca="false">E47+E48</f>
        <v>59095</v>
      </c>
      <c r="F49" s="70" t="n">
        <f aca="false">F47+F48</f>
        <v>63431</v>
      </c>
      <c r="G49" s="70" t="n">
        <f aca="false">G47+G48</f>
        <v>69020</v>
      </c>
      <c r="H49" s="70" t="n">
        <f aca="false">H47+H48</f>
        <v>63997</v>
      </c>
      <c r="I49" s="70" t="n">
        <f aca="false">I47+I48</f>
        <v>60011</v>
      </c>
      <c r="J49" s="70" t="n">
        <f aca="false">J47+J48</f>
        <v>-17137</v>
      </c>
      <c r="K49" s="70" t="n">
        <f aca="false">K47+K48</f>
        <v>42550</v>
      </c>
      <c r="L49" s="70" t="n">
        <f aca="false">L47+L48</f>
        <v>52475</v>
      </c>
      <c r="M49" s="70" t="n">
        <f aca="false">M47+M48</f>
        <v>75778</v>
      </c>
      <c r="N49" s="70" t="n">
        <f aca="false">N47+N48</f>
        <v>84115</v>
      </c>
      <c r="O49" s="70" t="n">
        <f aca="false">O47+O48</f>
        <v>80282</v>
      </c>
      <c r="P49" s="70" t="n">
        <f aca="false">P47+P48</f>
        <v>47570</v>
      </c>
    </row>
    <row r="50" customFormat="false" ht="15" hidden="false" customHeight="false" outlineLevel="0" collapsed="false">
      <c r="A50" s="22" t="s">
        <v>1966</v>
      </c>
      <c r="B50" s="23"/>
      <c r="C50" s="23"/>
      <c r="D50" s="23"/>
      <c r="E50" s="23"/>
      <c r="F50" s="23"/>
      <c r="G50" s="23"/>
      <c r="H50" s="23"/>
      <c r="I50" s="23"/>
      <c r="J50" s="23"/>
      <c r="K50" s="23"/>
      <c r="L50" s="23"/>
      <c r="M50" s="23"/>
      <c r="N50" s="23"/>
      <c r="O50" s="23"/>
      <c r="P50" s="23"/>
    </row>
    <row r="51" customFormat="false" ht="15" hidden="false" customHeight="false" outlineLevel="0" collapsed="false">
      <c r="A51" s="28" t="s">
        <v>325</v>
      </c>
      <c r="B51" s="58" t="s">
        <v>1967</v>
      </c>
      <c r="C51" s="59" t="n">
        <f aca="false">P51</f>
        <v>682000</v>
      </c>
      <c r="E51" s="103" t="n">
        <v>539000</v>
      </c>
      <c r="F51" s="103" t="n">
        <v>597000</v>
      </c>
      <c r="G51" s="103" t="n">
        <v>528000</v>
      </c>
      <c r="H51" s="103" t="n">
        <v>585000</v>
      </c>
      <c r="I51" s="103" t="n">
        <v>639000</v>
      </c>
      <c r="J51" s="103" t="n">
        <v>415000</v>
      </c>
      <c r="K51" s="103" t="n">
        <v>374000</v>
      </c>
      <c r="L51" s="103" t="n">
        <v>422000</v>
      </c>
      <c r="M51" s="103" t="n">
        <v>490000</v>
      </c>
      <c r="N51" s="103" t="n">
        <v>567000</v>
      </c>
      <c r="O51" s="103" t="n">
        <v>639000</v>
      </c>
      <c r="P51" s="103" t="n">
        <v>682000</v>
      </c>
    </row>
    <row r="52" customFormat="false" ht="15" hidden="false" customHeight="false" outlineLevel="0" collapsed="false">
      <c r="A52" s="28" t="s">
        <v>483</v>
      </c>
      <c r="B52" s="58" t="s">
        <v>1967</v>
      </c>
      <c r="C52" s="59" t="n">
        <f aca="false">P52</f>
        <v>651000</v>
      </c>
      <c r="E52" s="103" t="n">
        <v>585000</v>
      </c>
      <c r="F52" s="103" t="n">
        <v>591000</v>
      </c>
      <c r="G52" s="103" t="n">
        <v>625000</v>
      </c>
      <c r="H52" s="103" t="n">
        <v>628000</v>
      </c>
      <c r="I52" s="103" t="n">
        <v>623000</v>
      </c>
      <c r="J52" s="103" t="n">
        <v>619000</v>
      </c>
      <c r="K52" s="103" t="n">
        <v>579000</v>
      </c>
      <c r="L52" s="103" t="n">
        <v>601000</v>
      </c>
      <c r="M52" s="103" t="n">
        <v>656000</v>
      </c>
      <c r="N52" s="103" t="n">
        <v>688000</v>
      </c>
      <c r="O52" s="103" t="n">
        <v>728000</v>
      </c>
      <c r="P52" s="103" t="n">
        <v>651000</v>
      </c>
    </row>
    <row r="53" customFormat="false" ht="15" hidden="false" customHeight="false" outlineLevel="0" collapsed="false">
      <c r="A53" s="28" t="s">
        <v>484</v>
      </c>
      <c r="B53" s="58" t="s">
        <v>1967</v>
      </c>
      <c r="C53" s="59" t="n">
        <f aca="false">P53</f>
        <v>36000</v>
      </c>
      <c r="E53" s="103" t="n">
        <v>37000</v>
      </c>
      <c r="F53" s="103" t="n">
        <v>37000</v>
      </c>
      <c r="G53" s="103" t="n">
        <v>38000</v>
      </c>
      <c r="H53" s="103" t="n">
        <v>37000</v>
      </c>
      <c r="I53" s="103" t="n">
        <v>37000</v>
      </c>
      <c r="J53" s="103" t="n">
        <v>38000</v>
      </c>
      <c r="K53" s="103" t="n">
        <v>37000</v>
      </c>
      <c r="L53" s="103" t="n">
        <v>37000</v>
      </c>
      <c r="M53" s="103" t="n">
        <v>38000</v>
      </c>
      <c r="N53" s="103" t="n">
        <v>38000</v>
      </c>
      <c r="O53" s="103" t="n">
        <v>38000</v>
      </c>
      <c r="P53" s="103" t="n">
        <v>36000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2026-09-23T08:15:52Z</dcterms:created>
  <dc:creator>openpyxl</dc:creator>
  <dc:description/>
  <dc:language>en-US</dc:language>
  <cp:lastModifiedBy/>
  <dcterms:modified xsi:type="dcterms:W3CDTF">2026-09-23T11:15:58Z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